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9105" windowHeight="4935" activeTab="7"/>
  </bookViews>
  <sheets>
    <sheet name="Tabela 9.1" sheetId="1" r:id="rId1"/>
    <sheet name="tabela 9.2" sheetId="2" r:id="rId2"/>
    <sheet name="tabela 9.3" sheetId="3" r:id="rId3"/>
    <sheet name="tabela 9.4" sheetId="4" r:id="rId4"/>
    <sheet name="tabela 9.5" sheetId="5" r:id="rId5"/>
    <sheet name="tabela 9.6" sheetId="6" r:id="rId6"/>
    <sheet name="tabela 9.7" sheetId="7" r:id="rId7"/>
    <sheet name="tabela 9.8" sheetId="10" r:id="rId8"/>
    <sheet name="Plan11" sheetId="11" r:id="rId9"/>
    <sheet name="Plan12" sheetId="12" r:id="rId10"/>
    <sheet name="Plan13" sheetId="13" r:id="rId11"/>
    <sheet name="Plan14" sheetId="14" r:id="rId12"/>
    <sheet name="Plan15" sheetId="15" r:id="rId13"/>
    <sheet name="Plan16" sheetId="16" r:id="rId14"/>
  </sheets>
  <calcPr calcId="145621"/>
</workbook>
</file>

<file path=xl/calcChain.xml><?xml version="1.0" encoding="utf-8"?>
<calcChain xmlns="http://schemas.openxmlformats.org/spreadsheetml/2006/main">
  <c r="O6" i="1" l="1"/>
  <c r="R6" i="1"/>
  <c r="B7" i="1"/>
  <c r="C7" i="1"/>
  <c r="D7" i="1"/>
  <c r="E7" i="1"/>
  <c r="F7" i="1"/>
  <c r="G7" i="1"/>
  <c r="H7" i="1"/>
  <c r="I7" i="1"/>
  <c r="J7" i="1"/>
  <c r="K7" i="1"/>
  <c r="L7" i="1"/>
  <c r="M7" i="1"/>
  <c r="R7" i="1"/>
  <c r="B8" i="1"/>
  <c r="C8" i="1"/>
  <c r="D8" i="1"/>
  <c r="E8" i="1"/>
  <c r="F8" i="1"/>
  <c r="G8" i="1"/>
  <c r="H8" i="1"/>
  <c r="I8" i="1"/>
  <c r="J8" i="1"/>
  <c r="K8" i="1"/>
  <c r="L8" i="1"/>
  <c r="M8" i="1"/>
  <c r="R8" i="1"/>
  <c r="B9" i="1"/>
  <c r="C9" i="1"/>
  <c r="N9" i="1" s="1"/>
  <c r="D9" i="1"/>
  <c r="E9" i="1"/>
  <c r="F9" i="1"/>
  <c r="G9" i="1"/>
  <c r="H9" i="1"/>
  <c r="I9" i="1"/>
  <c r="J9" i="1"/>
  <c r="K9" i="1"/>
  <c r="L9" i="1"/>
  <c r="M9" i="1"/>
  <c r="R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R10" i="1"/>
  <c r="B11" i="1"/>
  <c r="C11" i="1"/>
  <c r="D11" i="1"/>
  <c r="E11" i="1"/>
  <c r="F11" i="1"/>
  <c r="G11" i="1"/>
  <c r="G24" i="1" s="1"/>
  <c r="H11" i="1"/>
  <c r="I11" i="1"/>
  <c r="J11" i="1"/>
  <c r="K11" i="1"/>
  <c r="K24" i="1" s="1"/>
  <c r="L11" i="1"/>
  <c r="M11" i="1"/>
  <c r="R11" i="1"/>
  <c r="B12" i="1"/>
  <c r="C12" i="1"/>
  <c r="D12" i="1"/>
  <c r="E12" i="1"/>
  <c r="F12" i="1"/>
  <c r="G12" i="1"/>
  <c r="H12" i="1"/>
  <c r="H25" i="1" s="1"/>
  <c r="I12" i="1"/>
  <c r="J12" i="1"/>
  <c r="K12" i="1"/>
  <c r="L12" i="1"/>
  <c r="L25" i="1" s="1"/>
  <c r="M12" i="1"/>
  <c r="R12" i="1"/>
  <c r="B13" i="1"/>
  <c r="C13" i="1"/>
  <c r="D13" i="1"/>
  <c r="E13" i="1"/>
  <c r="E26" i="1" s="1"/>
  <c r="E25" i="3" s="1"/>
  <c r="F13" i="1"/>
  <c r="G13" i="1"/>
  <c r="H13" i="1"/>
  <c r="I13" i="1"/>
  <c r="J13" i="1"/>
  <c r="K13" i="1"/>
  <c r="L13" i="1"/>
  <c r="M13" i="1"/>
  <c r="R13" i="1"/>
  <c r="B14" i="1"/>
  <c r="B27" i="1" s="1"/>
  <c r="C14" i="1"/>
  <c r="D14" i="1"/>
  <c r="E14" i="1"/>
  <c r="F14" i="1"/>
  <c r="F27" i="1" s="1"/>
  <c r="G14" i="1"/>
  <c r="H14" i="1"/>
  <c r="I14" i="1"/>
  <c r="J14" i="1"/>
  <c r="J27" i="1" s="1"/>
  <c r="K14" i="1"/>
  <c r="L14" i="1"/>
  <c r="M14" i="1"/>
  <c r="N14" i="1"/>
  <c r="R14" i="1"/>
  <c r="B15" i="1"/>
  <c r="C15" i="1"/>
  <c r="D15" i="1"/>
  <c r="E15" i="1"/>
  <c r="E28" i="1" s="1"/>
  <c r="F15" i="1"/>
  <c r="G15" i="1"/>
  <c r="H15" i="1"/>
  <c r="I15" i="1"/>
  <c r="I28" i="1" s="1"/>
  <c r="J15" i="1"/>
  <c r="K15" i="1"/>
  <c r="L15" i="1"/>
  <c r="M15" i="1"/>
  <c r="M28" i="1" s="1"/>
  <c r="N15" i="1"/>
  <c r="R15" i="1"/>
  <c r="B16" i="1"/>
  <c r="C16" i="1"/>
  <c r="D16" i="1"/>
  <c r="E16" i="1"/>
  <c r="F16" i="1"/>
  <c r="G16" i="1"/>
  <c r="H16" i="1"/>
  <c r="I16" i="1"/>
  <c r="J16" i="1"/>
  <c r="K16" i="1"/>
  <c r="L16" i="1"/>
  <c r="M16" i="1"/>
  <c r="R16" i="1"/>
  <c r="B20" i="1"/>
  <c r="D20" i="1"/>
  <c r="E20" i="1"/>
  <c r="F20" i="1"/>
  <c r="H20" i="1"/>
  <c r="I20" i="1"/>
  <c r="J20" i="1"/>
  <c r="L20" i="1"/>
  <c r="M20" i="1"/>
  <c r="B21" i="1"/>
  <c r="C21" i="1"/>
  <c r="E21" i="1"/>
  <c r="F21" i="1"/>
  <c r="G21" i="1"/>
  <c r="I21" i="1"/>
  <c r="J21" i="1"/>
  <c r="K21" i="1"/>
  <c r="M21" i="1"/>
  <c r="B22" i="1"/>
  <c r="C22" i="1"/>
  <c r="D22" i="1"/>
  <c r="F22" i="1"/>
  <c r="G22" i="1"/>
  <c r="H22" i="1"/>
  <c r="J22" i="1"/>
  <c r="K22" i="1"/>
  <c r="L22" i="1"/>
  <c r="C23" i="1"/>
  <c r="D23" i="1"/>
  <c r="E23" i="1"/>
  <c r="G23" i="1"/>
  <c r="H23" i="1"/>
  <c r="I23" i="1"/>
  <c r="K23" i="1"/>
  <c r="L23" i="1"/>
  <c r="M23" i="1"/>
  <c r="B24" i="1"/>
  <c r="D24" i="1"/>
  <c r="E24" i="1"/>
  <c r="F24" i="1"/>
  <c r="H24" i="1"/>
  <c r="I24" i="1"/>
  <c r="J24" i="1"/>
  <c r="L24" i="1"/>
  <c r="M24" i="1"/>
  <c r="B25" i="1"/>
  <c r="C25" i="1"/>
  <c r="E25" i="1"/>
  <c r="F25" i="1"/>
  <c r="G25" i="1"/>
  <c r="I25" i="1"/>
  <c r="J25" i="1"/>
  <c r="K25" i="1"/>
  <c r="M25" i="1"/>
  <c r="B26" i="1"/>
  <c r="C26" i="1"/>
  <c r="D26" i="1"/>
  <c r="F26" i="1"/>
  <c r="G26" i="1"/>
  <c r="H26" i="1"/>
  <c r="J26" i="1"/>
  <c r="K26" i="1"/>
  <c r="L26" i="1"/>
  <c r="C27" i="1"/>
  <c r="D27" i="1"/>
  <c r="E27" i="1"/>
  <c r="G27" i="1"/>
  <c r="H27" i="1"/>
  <c r="I27" i="1"/>
  <c r="K27" i="1"/>
  <c r="L27" i="1"/>
  <c r="M27" i="1"/>
  <c r="B28" i="1"/>
  <c r="D28" i="1"/>
  <c r="F28" i="1"/>
  <c r="H28" i="1"/>
  <c r="J28" i="1"/>
  <c r="L28" i="1"/>
  <c r="B29" i="1"/>
  <c r="C29" i="1"/>
  <c r="E29" i="1"/>
  <c r="F29" i="1"/>
  <c r="G29" i="1"/>
  <c r="I29" i="1"/>
  <c r="J29" i="1"/>
  <c r="K29" i="1"/>
  <c r="M29" i="1"/>
  <c r="N43" i="1"/>
  <c r="O6" i="2"/>
  <c r="B7" i="2"/>
  <c r="C7" i="2"/>
  <c r="D7" i="2"/>
  <c r="E7" i="2"/>
  <c r="F7" i="2"/>
  <c r="G7" i="2"/>
  <c r="H7" i="2"/>
  <c r="I7" i="2"/>
  <c r="J7" i="2"/>
  <c r="K7" i="2"/>
  <c r="L7" i="2"/>
  <c r="M7" i="2"/>
  <c r="B8" i="2"/>
  <c r="C8" i="2"/>
  <c r="D8" i="2"/>
  <c r="E8" i="2"/>
  <c r="F8" i="2"/>
  <c r="G8" i="2"/>
  <c r="H8" i="2"/>
  <c r="I8" i="2"/>
  <c r="J8" i="2"/>
  <c r="K8" i="2"/>
  <c r="L8" i="2"/>
  <c r="L20" i="2" s="1"/>
  <c r="M8" i="2"/>
  <c r="B9" i="2"/>
  <c r="C9" i="2"/>
  <c r="D9" i="2"/>
  <c r="E9" i="2"/>
  <c r="E21" i="2" s="1"/>
  <c r="F9" i="2"/>
  <c r="G9" i="2"/>
  <c r="G8" i="3" s="1"/>
  <c r="H9" i="2"/>
  <c r="I9" i="2"/>
  <c r="I21" i="2" s="1"/>
  <c r="J9" i="2"/>
  <c r="K9" i="2"/>
  <c r="L9" i="2"/>
  <c r="M9" i="2"/>
  <c r="M21" i="2" s="1"/>
  <c r="B10" i="2"/>
  <c r="C10" i="2"/>
  <c r="D10" i="2"/>
  <c r="D22" i="2" s="1"/>
  <c r="E10" i="2"/>
  <c r="F10" i="2"/>
  <c r="G10" i="2"/>
  <c r="H10" i="2"/>
  <c r="H22" i="2" s="1"/>
  <c r="I10" i="2"/>
  <c r="J10" i="2"/>
  <c r="K10" i="2"/>
  <c r="L10" i="2"/>
  <c r="L22" i="2" s="1"/>
  <c r="M10" i="2"/>
  <c r="N10" i="2"/>
  <c r="B11" i="2"/>
  <c r="C11" i="2"/>
  <c r="N11" i="2" s="1"/>
  <c r="D11" i="2"/>
  <c r="E11" i="2"/>
  <c r="E10" i="3" s="1"/>
  <c r="F11" i="2"/>
  <c r="G11" i="2"/>
  <c r="G23" i="2" s="1"/>
  <c r="H11" i="2"/>
  <c r="I11" i="2"/>
  <c r="I10" i="3" s="1"/>
  <c r="J11" i="2"/>
  <c r="K11" i="2"/>
  <c r="K23" i="2" s="1"/>
  <c r="L11" i="2"/>
  <c r="M11" i="2"/>
  <c r="B12" i="2"/>
  <c r="B24" i="2" s="1"/>
  <c r="C12" i="2"/>
  <c r="D12" i="2"/>
  <c r="E12" i="2"/>
  <c r="F12" i="2"/>
  <c r="F24" i="2" s="1"/>
  <c r="G12" i="2"/>
  <c r="H12" i="2"/>
  <c r="I12" i="2"/>
  <c r="J12" i="2"/>
  <c r="J24" i="2" s="1"/>
  <c r="K12" i="2"/>
  <c r="L12" i="2"/>
  <c r="M12" i="2"/>
  <c r="B13" i="2"/>
  <c r="C13" i="2"/>
  <c r="D13" i="2"/>
  <c r="E13" i="2"/>
  <c r="E25" i="2" s="1"/>
  <c r="F13" i="2"/>
  <c r="G13" i="2"/>
  <c r="H13" i="2"/>
  <c r="I13" i="2"/>
  <c r="I25" i="2" s="1"/>
  <c r="J13" i="2"/>
  <c r="K13" i="2"/>
  <c r="L13" i="2"/>
  <c r="M13" i="2"/>
  <c r="M25" i="2" s="1"/>
  <c r="B14" i="2"/>
  <c r="C14" i="2"/>
  <c r="D14" i="2"/>
  <c r="D26" i="2" s="1"/>
  <c r="E14" i="2"/>
  <c r="F14" i="2"/>
  <c r="G14" i="2"/>
  <c r="H14" i="2"/>
  <c r="H26" i="2" s="1"/>
  <c r="I14" i="2"/>
  <c r="J14" i="2"/>
  <c r="J26" i="2" s="1"/>
  <c r="J26" i="3" s="1"/>
  <c r="K14" i="2"/>
  <c r="L14" i="2"/>
  <c r="L26" i="2" s="1"/>
  <c r="M14" i="2"/>
  <c r="N14" i="2"/>
  <c r="B15" i="2"/>
  <c r="C15" i="2"/>
  <c r="D15" i="2"/>
  <c r="E15" i="2"/>
  <c r="F15" i="2"/>
  <c r="G15" i="2"/>
  <c r="G27" i="2" s="1"/>
  <c r="H15" i="2"/>
  <c r="I15" i="2"/>
  <c r="J15" i="2"/>
  <c r="K15" i="2"/>
  <c r="K27" i="2" s="1"/>
  <c r="L15" i="2"/>
  <c r="M15" i="2"/>
  <c r="M27" i="2" s="1"/>
  <c r="M27" i="3" s="1"/>
  <c r="B16" i="2"/>
  <c r="B28" i="2" s="1"/>
  <c r="C16" i="2"/>
  <c r="D16" i="2"/>
  <c r="E16" i="2"/>
  <c r="F16" i="2"/>
  <c r="F28" i="2" s="1"/>
  <c r="G16" i="2"/>
  <c r="H16" i="2"/>
  <c r="I16" i="2"/>
  <c r="J16" i="2"/>
  <c r="J28" i="2" s="1"/>
  <c r="K16" i="2"/>
  <c r="L16" i="2"/>
  <c r="M16" i="2"/>
  <c r="N16" i="2"/>
  <c r="B19" i="2"/>
  <c r="C19" i="2"/>
  <c r="D19" i="2"/>
  <c r="E19" i="2"/>
  <c r="F19" i="2"/>
  <c r="H19" i="2"/>
  <c r="H19" i="3" s="1"/>
  <c r="I19" i="2"/>
  <c r="J19" i="2"/>
  <c r="L19" i="2"/>
  <c r="M19" i="2"/>
  <c r="C20" i="2"/>
  <c r="D20" i="2"/>
  <c r="E20" i="2"/>
  <c r="G20" i="2"/>
  <c r="I20" i="2"/>
  <c r="I20" i="3" s="1"/>
  <c r="K20" i="2"/>
  <c r="M20" i="2"/>
  <c r="B21" i="2"/>
  <c r="C21" i="2"/>
  <c r="C21" i="3" s="1"/>
  <c r="D21" i="2"/>
  <c r="F21" i="2"/>
  <c r="G21" i="2"/>
  <c r="G21" i="3" s="1"/>
  <c r="H21" i="2"/>
  <c r="H21" i="3" s="1"/>
  <c r="J21" i="2"/>
  <c r="L21" i="2"/>
  <c r="L21" i="3" s="1"/>
  <c r="B22" i="2"/>
  <c r="C22" i="2"/>
  <c r="E22" i="2"/>
  <c r="E22" i="3" s="1"/>
  <c r="F22" i="2"/>
  <c r="G22" i="2"/>
  <c r="I22" i="2"/>
  <c r="J22" i="2"/>
  <c r="K22" i="2"/>
  <c r="K22" i="3" s="1"/>
  <c r="M22" i="2"/>
  <c r="B23" i="2"/>
  <c r="B23" i="3" s="1"/>
  <c r="D23" i="2"/>
  <c r="D23" i="3" s="1"/>
  <c r="E23" i="2"/>
  <c r="F23" i="2"/>
  <c r="H23" i="2"/>
  <c r="I23" i="2"/>
  <c r="I23" i="3" s="1"/>
  <c r="J23" i="2"/>
  <c r="L23" i="2"/>
  <c r="M23" i="2"/>
  <c r="M23" i="3" s="1"/>
  <c r="C24" i="2"/>
  <c r="D24" i="2"/>
  <c r="E24" i="2"/>
  <c r="E24" i="3" s="1"/>
  <c r="G24" i="2"/>
  <c r="G24" i="3" s="1"/>
  <c r="H24" i="2"/>
  <c r="I24" i="2"/>
  <c r="K24" i="2"/>
  <c r="L24" i="2"/>
  <c r="L24" i="3" s="1"/>
  <c r="M24" i="2"/>
  <c r="B25" i="2"/>
  <c r="C25" i="2"/>
  <c r="C25" i="3" s="1"/>
  <c r="D25" i="2"/>
  <c r="F25" i="2"/>
  <c r="H25" i="2"/>
  <c r="H25" i="3" s="1"/>
  <c r="J25" i="2"/>
  <c r="L25" i="2"/>
  <c r="B26" i="2"/>
  <c r="C26" i="2"/>
  <c r="E26" i="2"/>
  <c r="F26" i="2"/>
  <c r="F26" i="3" s="1"/>
  <c r="G26" i="2"/>
  <c r="G26" i="3" s="1"/>
  <c r="I26" i="2"/>
  <c r="K26" i="2"/>
  <c r="K26" i="3" s="1"/>
  <c r="M26" i="2"/>
  <c r="B27" i="2"/>
  <c r="D27" i="2"/>
  <c r="E27" i="2"/>
  <c r="E27" i="3" s="1"/>
  <c r="F27" i="2"/>
  <c r="H27" i="2"/>
  <c r="I27" i="2"/>
  <c r="I27" i="3" s="1"/>
  <c r="J27" i="2"/>
  <c r="J27" i="3" s="1"/>
  <c r="L27" i="2"/>
  <c r="C28" i="2"/>
  <c r="D28" i="2"/>
  <c r="E28" i="2"/>
  <c r="G28" i="2"/>
  <c r="H28" i="2"/>
  <c r="I28" i="2"/>
  <c r="K28" i="2"/>
  <c r="L28" i="2"/>
  <c r="M28" i="2"/>
  <c r="M28" i="3" s="1"/>
  <c r="N42" i="2"/>
  <c r="B6" i="3"/>
  <c r="D6" i="3"/>
  <c r="F6" i="3"/>
  <c r="H6" i="3"/>
  <c r="J6" i="3"/>
  <c r="K6" i="3"/>
  <c r="L6" i="3"/>
  <c r="O6" i="3"/>
  <c r="B7" i="3"/>
  <c r="C7" i="3"/>
  <c r="E7" i="3"/>
  <c r="F7" i="3"/>
  <c r="G7" i="3"/>
  <c r="I7" i="3"/>
  <c r="J7" i="3"/>
  <c r="K7" i="3"/>
  <c r="M7" i="3"/>
  <c r="O7" i="3"/>
  <c r="B8" i="3"/>
  <c r="C8" i="3"/>
  <c r="D8" i="3"/>
  <c r="F8" i="3"/>
  <c r="H8" i="3"/>
  <c r="J8" i="3"/>
  <c r="L8" i="3"/>
  <c r="O8" i="3"/>
  <c r="C9" i="3"/>
  <c r="D9" i="3"/>
  <c r="E9" i="3"/>
  <c r="G9" i="3"/>
  <c r="H9" i="3"/>
  <c r="I9" i="3"/>
  <c r="K9" i="3"/>
  <c r="L9" i="3"/>
  <c r="M9" i="3"/>
  <c r="O9" i="3"/>
  <c r="B10" i="3"/>
  <c r="C10" i="3"/>
  <c r="D10" i="3"/>
  <c r="F10" i="3"/>
  <c r="G10" i="3"/>
  <c r="H10" i="3"/>
  <c r="J10" i="3"/>
  <c r="K10" i="3"/>
  <c r="L10" i="3"/>
  <c r="M10" i="3"/>
  <c r="O10" i="3"/>
  <c r="B11" i="3"/>
  <c r="C11" i="3"/>
  <c r="D11" i="3"/>
  <c r="E11" i="3"/>
  <c r="F11" i="3"/>
  <c r="G11" i="3"/>
  <c r="H11" i="3"/>
  <c r="I11" i="3"/>
  <c r="J11" i="3"/>
  <c r="K11" i="3"/>
  <c r="L11" i="3"/>
  <c r="M11" i="3"/>
  <c r="O11" i="3"/>
  <c r="B12" i="3"/>
  <c r="D12" i="3"/>
  <c r="E12" i="3"/>
  <c r="F12" i="3"/>
  <c r="H12" i="3"/>
  <c r="J12" i="3"/>
  <c r="L12" i="3"/>
  <c r="O12" i="3"/>
  <c r="B13" i="3"/>
  <c r="C13" i="3"/>
  <c r="D13" i="3"/>
  <c r="E13" i="3"/>
  <c r="F13" i="3"/>
  <c r="G13" i="3"/>
  <c r="H13" i="3"/>
  <c r="I13" i="3"/>
  <c r="J13" i="3"/>
  <c r="K13" i="3"/>
  <c r="L13" i="3"/>
  <c r="M13" i="3"/>
  <c r="O13" i="3"/>
  <c r="B14" i="3"/>
  <c r="D14" i="3"/>
  <c r="E14" i="3"/>
  <c r="F14" i="3"/>
  <c r="H14" i="3"/>
  <c r="I14" i="3"/>
  <c r="J14" i="3"/>
  <c r="L14" i="3"/>
  <c r="M14" i="3"/>
  <c r="O14" i="3"/>
  <c r="B15" i="3"/>
  <c r="C15" i="3"/>
  <c r="E15" i="3"/>
  <c r="F15" i="3"/>
  <c r="G15" i="3"/>
  <c r="I15" i="3"/>
  <c r="J15" i="3"/>
  <c r="K15" i="3"/>
  <c r="M15" i="3"/>
  <c r="O15" i="3"/>
  <c r="D19" i="3"/>
  <c r="E19" i="3"/>
  <c r="I19" i="3"/>
  <c r="J19" i="3"/>
  <c r="G20" i="3"/>
  <c r="K20" i="3"/>
  <c r="M20" i="3"/>
  <c r="D21" i="3"/>
  <c r="F21" i="3"/>
  <c r="J21" i="3"/>
  <c r="C22" i="3"/>
  <c r="D22" i="3"/>
  <c r="G22" i="3"/>
  <c r="H22" i="3"/>
  <c r="I22" i="3"/>
  <c r="L22" i="3"/>
  <c r="M22" i="3"/>
  <c r="E23" i="3"/>
  <c r="F23" i="3"/>
  <c r="G23" i="3"/>
  <c r="H23" i="3"/>
  <c r="J23" i="3"/>
  <c r="K23" i="3"/>
  <c r="L23" i="3"/>
  <c r="B24" i="3"/>
  <c r="C24" i="3"/>
  <c r="F24" i="3"/>
  <c r="H24" i="3"/>
  <c r="I24" i="3"/>
  <c r="J24" i="3"/>
  <c r="K24" i="3"/>
  <c r="M24" i="3"/>
  <c r="B25" i="3"/>
  <c r="F25" i="3"/>
  <c r="J25" i="3"/>
  <c r="L25" i="3"/>
  <c r="C26" i="3"/>
  <c r="D26" i="3"/>
  <c r="E26" i="3"/>
  <c r="H26" i="3"/>
  <c r="I26" i="3"/>
  <c r="L26" i="3"/>
  <c r="B27" i="3"/>
  <c r="D27" i="3"/>
  <c r="F27" i="3"/>
  <c r="H27" i="3"/>
  <c r="L27" i="3"/>
  <c r="B28" i="3"/>
  <c r="C28" i="3"/>
  <c r="E28" i="3"/>
  <c r="F28" i="3"/>
  <c r="G28" i="3"/>
  <c r="I28" i="3"/>
  <c r="J28" i="3"/>
  <c r="K28" i="3"/>
  <c r="I5" i="4"/>
  <c r="O5" i="4"/>
  <c r="B6" i="4"/>
  <c r="B5" i="4" s="1"/>
  <c r="C6" i="4"/>
  <c r="D6" i="4"/>
  <c r="D5" i="4" s="1"/>
  <c r="E6" i="4"/>
  <c r="F6" i="4"/>
  <c r="G6" i="4"/>
  <c r="H6" i="4"/>
  <c r="H5" i="4" s="1"/>
  <c r="I6" i="4"/>
  <c r="J6" i="4"/>
  <c r="K6" i="4"/>
  <c r="L6" i="4"/>
  <c r="L5" i="4" s="1"/>
  <c r="M6" i="4"/>
  <c r="N6" i="4"/>
  <c r="B7" i="4"/>
  <c r="C7" i="4"/>
  <c r="D7" i="4"/>
  <c r="E7" i="4"/>
  <c r="F7" i="4"/>
  <c r="G7" i="4"/>
  <c r="H7" i="4"/>
  <c r="I7" i="4"/>
  <c r="I7" i="6" s="1"/>
  <c r="J7" i="4"/>
  <c r="K7" i="4"/>
  <c r="L7" i="4"/>
  <c r="M7" i="4"/>
  <c r="O9" i="4"/>
  <c r="E10" i="4"/>
  <c r="M10" i="4"/>
  <c r="M9" i="4" s="1"/>
  <c r="I11" i="4"/>
  <c r="M11" i="4"/>
  <c r="B12" i="4"/>
  <c r="C12" i="4"/>
  <c r="D12" i="4"/>
  <c r="E12" i="4"/>
  <c r="F12" i="4"/>
  <c r="G12" i="4"/>
  <c r="H12" i="4"/>
  <c r="I12" i="4"/>
  <c r="I12" i="6" s="1"/>
  <c r="J12" i="4"/>
  <c r="K12" i="4"/>
  <c r="L12" i="4"/>
  <c r="M12" i="4"/>
  <c r="C13" i="4"/>
  <c r="D13" i="4"/>
  <c r="D10" i="4" s="1"/>
  <c r="E13" i="4"/>
  <c r="G13" i="4"/>
  <c r="H13" i="4"/>
  <c r="I13" i="4"/>
  <c r="I10" i="4" s="1"/>
  <c r="K13" i="4"/>
  <c r="L13" i="4"/>
  <c r="M13" i="4"/>
  <c r="C14" i="4"/>
  <c r="D14" i="4"/>
  <c r="D11" i="4" s="1"/>
  <c r="E14" i="4"/>
  <c r="E11" i="4" s="1"/>
  <c r="G14" i="4"/>
  <c r="H14" i="4"/>
  <c r="I14" i="4"/>
  <c r="K14" i="4"/>
  <c r="K11" i="4" s="1"/>
  <c r="L14" i="4"/>
  <c r="L11" i="4" s="1"/>
  <c r="M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B18" i="4"/>
  <c r="E18" i="4"/>
  <c r="F18" i="4"/>
  <c r="I18" i="4"/>
  <c r="J18" i="4"/>
  <c r="M18" i="4"/>
  <c r="O18" i="4"/>
  <c r="C18" i="4" s="1"/>
  <c r="G19" i="4"/>
  <c r="L19" i="4"/>
  <c r="O19" i="4"/>
  <c r="D19" i="4" s="1"/>
  <c r="D18" i="6" s="1"/>
  <c r="B20" i="4"/>
  <c r="C20" i="4"/>
  <c r="D20" i="4"/>
  <c r="E20" i="4"/>
  <c r="F20" i="4"/>
  <c r="G20" i="4"/>
  <c r="H20" i="4"/>
  <c r="I20" i="4"/>
  <c r="J20" i="4"/>
  <c r="K20" i="4"/>
  <c r="L20" i="4"/>
  <c r="M20" i="4"/>
  <c r="B24" i="4"/>
  <c r="C24" i="4"/>
  <c r="D24" i="4"/>
  <c r="E24" i="4"/>
  <c r="F24" i="4"/>
  <c r="G24" i="4"/>
  <c r="H24" i="4"/>
  <c r="I24" i="4"/>
  <c r="J24" i="4"/>
  <c r="K24" i="4"/>
  <c r="L24" i="4"/>
  <c r="M24" i="4"/>
  <c r="B26" i="4"/>
  <c r="D26" i="4"/>
  <c r="E26" i="4"/>
  <c r="F26" i="4"/>
  <c r="H26" i="4"/>
  <c r="I26" i="4"/>
  <c r="J26" i="4"/>
  <c r="L26" i="4"/>
  <c r="M26" i="4"/>
  <c r="O26" i="4"/>
  <c r="C26" i="4" s="1"/>
  <c r="B28" i="4"/>
  <c r="O28" i="4"/>
  <c r="J28" i="4" s="1"/>
  <c r="B30" i="4"/>
  <c r="D30" i="4"/>
  <c r="E30" i="4"/>
  <c r="F30" i="4"/>
  <c r="H30" i="4"/>
  <c r="I30" i="4"/>
  <c r="J30" i="4"/>
  <c r="L30" i="4"/>
  <c r="M30" i="4"/>
  <c r="O30" i="4"/>
  <c r="C30" i="4" s="1"/>
  <c r="B32" i="4"/>
  <c r="C32" i="4"/>
  <c r="F32" i="4"/>
  <c r="F31" i="6" s="1"/>
  <c r="J32" i="4"/>
  <c r="K32" i="4"/>
  <c r="O32" i="4"/>
  <c r="B34" i="4"/>
  <c r="D34" i="4"/>
  <c r="E34" i="4"/>
  <c r="F34" i="4"/>
  <c r="H34" i="4"/>
  <c r="I34" i="4"/>
  <c r="J34" i="4"/>
  <c r="L34" i="4"/>
  <c r="M34" i="4"/>
  <c r="O34" i="4"/>
  <c r="C34" i="4" s="1"/>
  <c r="D36" i="4"/>
  <c r="D35" i="6" s="1"/>
  <c r="O36" i="4"/>
  <c r="B40" i="4"/>
  <c r="C40" i="4"/>
  <c r="F40" i="4"/>
  <c r="G40" i="4"/>
  <c r="I40" i="4"/>
  <c r="K40" i="4"/>
  <c r="M40" i="4"/>
  <c r="O40" i="4"/>
  <c r="B46" i="4"/>
  <c r="F46" i="4"/>
  <c r="F45" i="6" s="1"/>
  <c r="G46" i="4"/>
  <c r="K46" i="4"/>
  <c r="M46" i="4"/>
  <c r="O46" i="4"/>
  <c r="C47" i="4"/>
  <c r="C46" i="6" s="1"/>
  <c r="I47" i="4"/>
  <c r="I46" i="6" s="1"/>
  <c r="M47" i="4"/>
  <c r="M46" i="6" s="1"/>
  <c r="O47" i="4"/>
  <c r="H47" i="4" s="1"/>
  <c r="E4" i="5"/>
  <c r="F4" i="5"/>
  <c r="H4" i="5"/>
  <c r="I4" i="5"/>
  <c r="L4" i="5"/>
  <c r="M4" i="5"/>
  <c r="B5" i="5"/>
  <c r="C5" i="5"/>
  <c r="N5" i="5" s="1"/>
  <c r="D5" i="5"/>
  <c r="D4" i="5" s="1"/>
  <c r="E5" i="5"/>
  <c r="F5" i="5"/>
  <c r="G5" i="5"/>
  <c r="H5" i="5"/>
  <c r="I5" i="5"/>
  <c r="J5" i="5"/>
  <c r="K5" i="5"/>
  <c r="L5" i="5"/>
  <c r="M5" i="5"/>
  <c r="N6" i="5"/>
  <c r="P6" i="5" s="1"/>
  <c r="O6" i="5"/>
  <c r="O4" i="5" s="1"/>
  <c r="O8" i="5"/>
  <c r="H9" i="5"/>
  <c r="I9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B12" i="5"/>
  <c r="D12" i="5"/>
  <c r="E12" i="5"/>
  <c r="F12" i="5"/>
  <c r="H12" i="5"/>
  <c r="I12" i="5"/>
  <c r="J12" i="5"/>
  <c r="L12" i="5"/>
  <c r="M12" i="5"/>
  <c r="M9" i="5" s="1"/>
  <c r="D13" i="5"/>
  <c r="D10" i="5" s="1"/>
  <c r="D11" i="6" s="1"/>
  <c r="E13" i="5"/>
  <c r="H13" i="5"/>
  <c r="H10" i="5" s="1"/>
  <c r="I13" i="5"/>
  <c r="I14" i="6" s="1"/>
  <c r="L13" i="5"/>
  <c r="M13" i="5"/>
  <c r="B14" i="5"/>
  <c r="C14" i="5"/>
  <c r="C15" i="6" s="1"/>
  <c r="D14" i="5"/>
  <c r="D15" i="6" s="1"/>
  <c r="E14" i="5"/>
  <c r="F14" i="5"/>
  <c r="G14" i="5"/>
  <c r="G15" i="6" s="1"/>
  <c r="H14" i="5"/>
  <c r="H15" i="6" s="1"/>
  <c r="I14" i="5"/>
  <c r="J14" i="5"/>
  <c r="K14" i="5"/>
  <c r="K15" i="6" s="1"/>
  <c r="L14" i="5"/>
  <c r="L15" i="6" s="1"/>
  <c r="M14" i="5"/>
  <c r="N14" i="5"/>
  <c r="C16" i="5"/>
  <c r="K16" i="5"/>
  <c r="C17" i="5"/>
  <c r="D17" i="5"/>
  <c r="D16" i="5" s="1"/>
  <c r="K17" i="5"/>
  <c r="L17" i="5"/>
  <c r="L16" i="5" s="1"/>
  <c r="O17" i="5"/>
  <c r="O16" i="5" s="1"/>
  <c r="B18" i="5"/>
  <c r="B19" i="6" s="1"/>
  <c r="C18" i="5"/>
  <c r="D18" i="5"/>
  <c r="E18" i="5"/>
  <c r="N18" i="5" s="1"/>
  <c r="F18" i="5"/>
  <c r="F19" i="6" s="1"/>
  <c r="G18" i="5"/>
  <c r="H18" i="5"/>
  <c r="I18" i="5"/>
  <c r="J18" i="5"/>
  <c r="J19" i="6" s="1"/>
  <c r="K18" i="5"/>
  <c r="L18" i="5"/>
  <c r="M18" i="5"/>
  <c r="B22" i="5"/>
  <c r="D22" i="5"/>
  <c r="E22" i="5"/>
  <c r="F22" i="5"/>
  <c r="H22" i="5"/>
  <c r="I22" i="5"/>
  <c r="J22" i="5"/>
  <c r="L22" i="5"/>
  <c r="M22" i="5"/>
  <c r="O22" i="5"/>
  <c r="C22" i="5" s="1"/>
  <c r="H24" i="5"/>
  <c r="O24" i="5"/>
  <c r="D24" i="5" s="1"/>
  <c r="D36" i="5" s="1"/>
  <c r="B26" i="5"/>
  <c r="D26" i="5"/>
  <c r="E26" i="5"/>
  <c r="F26" i="5"/>
  <c r="H26" i="5"/>
  <c r="I26" i="5"/>
  <c r="J26" i="5"/>
  <c r="L26" i="5"/>
  <c r="M26" i="5"/>
  <c r="O26" i="5"/>
  <c r="C26" i="5" s="1"/>
  <c r="C28" i="5"/>
  <c r="C29" i="6" s="1"/>
  <c r="D28" i="5"/>
  <c r="D29" i="6" s="1"/>
  <c r="K28" i="5"/>
  <c r="L28" i="5"/>
  <c r="O28" i="5"/>
  <c r="H28" i="5" s="1"/>
  <c r="B30" i="5"/>
  <c r="D30" i="5"/>
  <c r="E30" i="5"/>
  <c r="F30" i="5"/>
  <c r="H30" i="5"/>
  <c r="I30" i="5"/>
  <c r="J30" i="5"/>
  <c r="J31" i="6" s="1"/>
  <c r="L30" i="5"/>
  <c r="M30" i="5"/>
  <c r="O30" i="5"/>
  <c r="C30" i="5" s="1"/>
  <c r="C31" i="6" s="1"/>
  <c r="H32" i="5"/>
  <c r="H33" i="6" s="1"/>
  <c r="O32" i="5"/>
  <c r="D32" i="5" s="1"/>
  <c r="B34" i="5"/>
  <c r="D34" i="5"/>
  <c r="E34" i="5"/>
  <c r="F34" i="5"/>
  <c r="H34" i="5"/>
  <c r="I34" i="5"/>
  <c r="J34" i="5"/>
  <c r="L34" i="5"/>
  <c r="M34" i="5"/>
  <c r="O34" i="5"/>
  <c r="C34" i="5" s="1"/>
  <c r="D38" i="5"/>
  <c r="E38" i="5"/>
  <c r="H38" i="5"/>
  <c r="I38" i="5"/>
  <c r="L38" i="5"/>
  <c r="M38" i="5"/>
  <c r="O38" i="5"/>
  <c r="B38" i="5" s="1"/>
  <c r="B43" i="5"/>
  <c r="C43" i="5"/>
  <c r="D43" i="5"/>
  <c r="E43" i="5"/>
  <c r="F43" i="5"/>
  <c r="G43" i="5"/>
  <c r="H43" i="5"/>
  <c r="I43" i="5"/>
  <c r="J43" i="5"/>
  <c r="K43" i="5"/>
  <c r="L43" i="5"/>
  <c r="M43" i="5"/>
  <c r="N44" i="5"/>
  <c r="O44" i="5"/>
  <c r="N45" i="5"/>
  <c r="O45" i="5"/>
  <c r="O43" i="5" s="1"/>
  <c r="D5" i="6"/>
  <c r="I5" i="6"/>
  <c r="L5" i="6"/>
  <c r="D6" i="6"/>
  <c r="E6" i="6"/>
  <c r="H6" i="6"/>
  <c r="H5" i="6" s="1"/>
  <c r="I6" i="6"/>
  <c r="K6" i="6"/>
  <c r="K5" i="6" s="1"/>
  <c r="L6" i="6"/>
  <c r="M6" i="6"/>
  <c r="B7" i="6"/>
  <c r="C7" i="6"/>
  <c r="D7" i="6"/>
  <c r="F7" i="6"/>
  <c r="G7" i="6"/>
  <c r="H7" i="6"/>
  <c r="J7" i="6"/>
  <c r="K7" i="6"/>
  <c r="L7" i="6"/>
  <c r="B12" i="6"/>
  <c r="C12" i="6"/>
  <c r="J12" i="6"/>
  <c r="D13" i="6"/>
  <c r="I13" i="6"/>
  <c r="M13" i="6"/>
  <c r="E14" i="6"/>
  <c r="H14" i="6"/>
  <c r="M14" i="6"/>
  <c r="B15" i="6"/>
  <c r="E15" i="6"/>
  <c r="F15" i="6"/>
  <c r="I15" i="6"/>
  <c r="J15" i="6"/>
  <c r="M15" i="6"/>
  <c r="C19" i="6"/>
  <c r="D19" i="6"/>
  <c r="E19" i="6"/>
  <c r="G19" i="6"/>
  <c r="H19" i="6"/>
  <c r="I19" i="6"/>
  <c r="K19" i="6"/>
  <c r="L19" i="6"/>
  <c r="M19" i="6"/>
  <c r="B23" i="6"/>
  <c r="D23" i="6"/>
  <c r="F23" i="6"/>
  <c r="H23" i="6"/>
  <c r="J23" i="6"/>
  <c r="L23" i="6"/>
  <c r="H29" i="6"/>
  <c r="B31" i="6"/>
  <c r="B39" i="6"/>
  <c r="I39" i="6"/>
  <c r="B45" i="6"/>
  <c r="K45" i="6"/>
  <c r="M45" i="6"/>
  <c r="H46" i="6"/>
  <c r="A9" i="7"/>
  <c r="N13" i="3" l="1"/>
  <c r="L9" i="5"/>
  <c r="L8" i="5" s="1"/>
  <c r="L20" i="5" s="1"/>
  <c r="L14" i="6"/>
  <c r="G45" i="6"/>
  <c r="D17" i="6"/>
  <c r="N11" i="3"/>
  <c r="L18" i="2"/>
  <c r="L19" i="3"/>
  <c r="F19" i="3"/>
  <c r="F18" i="2"/>
  <c r="N15" i="6"/>
  <c r="M10" i="6"/>
  <c r="M9" i="6" s="1"/>
  <c r="H25" i="6"/>
  <c r="H36" i="5"/>
  <c r="E9" i="4"/>
  <c r="D9" i="5"/>
  <c r="D14" i="6"/>
  <c r="B27" i="6"/>
  <c r="E25" i="6"/>
  <c r="F12" i="6"/>
  <c r="E20" i="3"/>
  <c r="E18" i="2"/>
  <c r="B19" i="3"/>
  <c r="I10" i="6"/>
  <c r="L18" i="6"/>
  <c r="L17" i="6" s="1"/>
  <c r="E17" i="4"/>
  <c r="D25" i="3"/>
  <c r="C23" i="6"/>
  <c r="O20" i="5"/>
  <c r="E13" i="6"/>
  <c r="E9" i="5"/>
  <c r="L10" i="5"/>
  <c r="L11" i="6" s="1"/>
  <c r="M39" i="6"/>
  <c r="E36" i="4"/>
  <c r="E35" i="6" s="1"/>
  <c r="I36" i="4"/>
  <c r="I35" i="6" s="1"/>
  <c r="M36" i="4"/>
  <c r="M35" i="6" s="1"/>
  <c r="B36" i="4"/>
  <c r="G36" i="4"/>
  <c r="L36" i="4"/>
  <c r="L35" i="6" s="1"/>
  <c r="C36" i="4"/>
  <c r="C35" i="6" s="1"/>
  <c r="H36" i="4"/>
  <c r="H35" i="6" s="1"/>
  <c r="F36" i="4"/>
  <c r="F35" i="6" s="1"/>
  <c r="K36" i="4"/>
  <c r="J36" i="4"/>
  <c r="J35" i="6" s="1"/>
  <c r="L29" i="6"/>
  <c r="J27" i="6"/>
  <c r="C13" i="6"/>
  <c r="L29" i="1"/>
  <c r="L28" i="3" s="1"/>
  <c r="L15" i="3"/>
  <c r="H29" i="1"/>
  <c r="H28" i="3" s="1"/>
  <c r="H15" i="3"/>
  <c r="N16" i="1"/>
  <c r="D29" i="1"/>
  <c r="D28" i="3" s="1"/>
  <c r="D15" i="3"/>
  <c r="K28" i="1"/>
  <c r="K27" i="3" s="1"/>
  <c r="K14" i="3"/>
  <c r="G28" i="1"/>
  <c r="G27" i="3" s="1"/>
  <c r="G14" i="3"/>
  <c r="C28" i="1"/>
  <c r="C14" i="3"/>
  <c r="N14" i="3" s="1"/>
  <c r="J23" i="1"/>
  <c r="J22" i="3" s="1"/>
  <c r="J9" i="3"/>
  <c r="F23" i="1"/>
  <c r="F22" i="3" s="1"/>
  <c r="F9" i="3"/>
  <c r="F5" i="3" s="1"/>
  <c r="B23" i="1"/>
  <c r="B9" i="3"/>
  <c r="L21" i="1"/>
  <c r="L20" i="3" s="1"/>
  <c r="L7" i="3"/>
  <c r="L6" i="1"/>
  <c r="H21" i="1"/>
  <c r="H6" i="1"/>
  <c r="H7" i="3"/>
  <c r="H5" i="3" s="1"/>
  <c r="N8" i="1"/>
  <c r="D21" i="1"/>
  <c r="D20" i="3" s="1"/>
  <c r="D6" i="1"/>
  <c r="D7" i="3"/>
  <c r="N7" i="3" s="1"/>
  <c r="J6" i="1"/>
  <c r="F6" i="1"/>
  <c r="B6" i="1"/>
  <c r="C6" i="6"/>
  <c r="C5" i="6" s="1"/>
  <c r="L32" i="5"/>
  <c r="L33" i="6" s="1"/>
  <c r="L24" i="5"/>
  <c r="N19" i="6"/>
  <c r="H17" i="5"/>
  <c r="H16" i="5" s="1"/>
  <c r="H20" i="5" s="1"/>
  <c r="H40" i="5" s="1"/>
  <c r="J13" i="5"/>
  <c r="J9" i="5" s="1"/>
  <c r="J8" i="5" s="1"/>
  <c r="J10" i="5"/>
  <c r="F9" i="5"/>
  <c r="F8" i="5" s="1"/>
  <c r="F13" i="5"/>
  <c r="F10" i="5"/>
  <c r="B4" i="5"/>
  <c r="B9" i="5"/>
  <c r="B13" i="5"/>
  <c r="B10" i="5"/>
  <c r="J4" i="5"/>
  <c r="M45" i="4"/>
  <c r="M44" i="6" s="1"/>
  <c r="D33" i="6"/>
  <c r="L10" i="4"/>
  <c r="L13" i="6"/>
  <c r="G13" i="6"/>
  <c r="M12" i="6"/>
  <c r="E12" i="6"/>
  <c r="M26" i="3"/>
  <c r="N43" i="5"/>
  <c r="P43" i="5" s="1"/>
  <c r="E32" i="5"/>
  <c r="E33" i="6" s="1"/>
  <c r="I32" i="5"/>
  <c r="I33" i="6" s="1"/>
  <c r="M32" i="5"/>
  <c r="M33" i="6" s="1"/>
  <c r="B32" i="5"/>
  <c r="F32" i="5"/>
  <c r="F33" i="6" s="1"/>
  <c r="J32" i="5"/>
  <c r="J33" i="6" s="1"/>
  <c r="G32" i="5"/>
  <c r="E24" i="5"/>
  <c r="E36" i="5" s="1"/>
  <c r="I24" i="5"/>
  <c r="I25" i="6" s="1"/>
  <c r="M24" i="5"/>
  <c r="M25" i="6" s="1"/>
  <c r="B24" i="5"/>
  <c r="F24" i="5"/>
  <c r="F25" i="6" s="1"/>
  <c r="J24" i="5"/>
  <c r="J25" i="6" s="1"/>
  <c r="G24" i="5"/>
  <c r="H8" i="5"/>
  <c r="K4" i="5"/>
  <c r="K12" i="5"/>
  <c r="K13" i="6" s="1"/>
  <c r="K9" i="5"/>
  <c r="K13" i="5"/>
  <c r="G4" i="5"/>
  <c r="G12" i="5"/>
  <c r="G9" i="5"/>
  <c r="G13" i="5"/>
  <c r="G14" i="6" s="1"/>
  <c r="C12" i="5"/>
  <c r="C4" i="5"/>
  <c r="C9" i="5"/>
  <c r="C13" i="5"/>
  <c r="D28" i="4"/>
  <c r="D27" i="6" s="1"/>
  <c r="H28" i="4"/>
  <c r="L28" i="4"/>
  <c r="E28" i="4"/>
  <c r="E27" i="6" s="1"/>
  <c r="I28" i="4"/>
  <c r="I27" i="6" s="1"/>
  <c r="M28" i="4"/>
  <c r="O38" i="4"/>
  <c r="C28" i="4"/>
  <c r="C27" i="6" s="1"/>
  <c r="K28" i="4"/>
  <c r="F28" i="4"/>
  <c r="D25" i="6"/>
  <c r="H10" i="4"/>
  <c r="H13" i="6"/>
  <c r="H11" i="4"/>
  <c r="H11" i="6" s="1"/>
  <c r="G6" i="6"/>
  <c r="G5" i="6" s="1"/>
  <c r="O36" i="5"/>
  <c r="K32" i="5"/>
  <c r="C32" i="5"/>
  <c r="C33" i="6" s="1"/>
  <c r="E28" i="5"/>
  <c r="E29" i="6" s="1"/>
  <c r="I28" i="5"/>
  <c r="I29" i="6" s="1"/>
  <c r="M28" i="5"/>
  <c r="M29" i="6" s="1"/>
  <c r="B28" i="5"/>
  <c r="F28" i="5"/>
  <c r="F29" i="6" s="1"/>
  <c r="J28" i="5"/>
  <c r="J29" i="6" s="1"/>
  <c r="G28" i="5"/>
  <c r="K24" i="5"/>
  <c r="C24" i="5"/>
  <c r="C36" i="5" s="1"/>
  <c r="F36" i="5"/>
  <c r="E17" i="5"/>
  <c r="E16" i="5" s="1"/>
  <c r="I17" i="5"/>
  <c r="I16" i="5" s="1"/>
  <c r="M17" i="5"/>
  <c r="M16" i="5" s="1"/>
  <c r="B17" i="5"/>
  <c r="F17" i="5"/>
  <c r="F16" i="5" s="1"/>
  <c r="J17" i="5"/>
  <c r="J16" i="5" s="1"/>
  <c r="G17" i="5"/>
  <c r="G16" i="5" s="1"/>
  <c r="G10" i="5"/>
  <c r="M10" i="5"/>
  <c r="M11" i="6" s="1"/>
  <c r="I10" i="5"/>
  <c r="I11" i="6" s="1"/>
  <c r="E10" i="5"/>
  <c r="E11" i="6" s="1"/>
  <c r="B47" i="4"/>
  <c r="B45" i="4" s="1"/>
  <c r="F47" i="4"/>
  <c r="F46" i="6" s="1"/>
  <c r="J47" i="4"/>
  <c r="J46" i="6" s="1"/>
  <c r="E47" i="4"/>
  <c r="E46" i="6" s="1"/>
  <c r="K47" i="4"/>
  <c r="K46" i="6" s="1"/>
  <c r="G47" i="4"/>
  <c r="G46" i="6" s="1"/>
  <c r="L47" i="4"/>
  <c r="L46" i="6" s="1"/>
  <c r="D47" i="4"/>
  <c r="D46" i="6" s="1"/>
  <c r="G28" i="4"/>
  <c r="M23" i="6"/>
  <c r="I23" i="6"/>
  <c r="I37" i="6" s="1"/>
  <c r="N24" i="4"/>
  <c r="E23" i="6"/>
  <c r="N20" i="4"/>
  <c r="E19" i="4"/>
  <c r="E18" i="6" s="1"/>
  <c r="E17" i="6" s="1"/>
  <c r="I19" i="4"/>
  <c r="M19" i="4"/>
  <c r="M18" i="6" s="1"/>
  <c r="M17" i="6" s="1"/>
  <c r="B19" i="4"/>
  <c r="B17" i="4" s="1"/>
  <c r="F19" i="4"/>
  <c r="F18" i="6" s="1"/>
  <c r="F17" i="6" s="1"/>
  <c r="J19" i="4"/>
  <c r="J18" i="6" s="1"/>
  <c r="J17" i="6" s="1"/>
  <c r="H19" i="4"/>
  <c r="C19" i="4"/>
  <c r="C18" i="6" s="1"/>
  <c r="C17" i="6" s="1"/>
  <c r="K19" i="4"/>
  <c r="K18" i="6" s="1"/>
  <c r="K17" i="6" s="1"/>
  <c r="M5" i="4"/>
  <c r="M7" i="6"/>
  <c r="M5" i="6" s="1"/>
  <c r="E5" i="4"/>
  <c r="N7" i="4"/>
  <c r="E7" i="6"/>
  <c r="J10" i="4"/>
  <c r="J13" i="4"/>
  <c r="J13" i="6" s="1"/>
  <c r="J5" i="4"/>
  <c r="J14" i="4"/>
  <c r="J14" i="6" s="1"/>
  <c r="J6" i="6"/>
  <c r="J5" i="6" s="1"/>
  <c r="F5" i="4"/>
  <c r="F13" i="4"/>
  <c r="F13" i="6" s="1"/>
  <c r="F10" i="4"/>
  <c r="F14" i="4"/>
  <c r="F14" i="6" s="1"/>
  <c r="F6" i="6"/>
  <c r="F5" i="6" s="1"/>
  <c r="B11" i="4"/>
  <c r="B10" i="4"/>
  <c r="B13" i="4"/>
  <c r="B14" i="4"/>
  <c r="B6" i="6"/>
  <c r="M18" i="2"/>
  <c r="M19" i="3"/>
  <c r="K38" i="5"/>
  <c r="K39" i="6" s="1"/>
  <c r="G38" i="5"/>
  <c r="G39" i="6" s="1"/>
  <c r="C38" i="5"/>
  <c r="C39" i="6" s="1"/>
  <c r="N39" i="6" s="1"/>
  <c r="O45" i="4"/>
  <c r="D46" i="4"/>
  <c r="H46" i="4"/>
  <c r="L46" i="4"/>
  <c r="J46" i="4"/>
  <c r="E46" i="4"/>
  <c r="C38" i="4"/>
  <c r="J17" i="4"/>
  <c r="N12" i="4"/>
  <c r="B21" i="3"/>
  <c r="C20" i="3"/>
  <c r="J19" i="1"/>
  <c r="M26" i="1"/>
  <c r="M25" i="3" s="1"/>
  <c r="M12" i="3"/>
  <c r="I26" i="1"/>
  <c r="I25" i="3" s="1"/>
  <c r="I12" i="3"/>
  <c r="J38" i="5"/>
  <c r="F38" i="5"/>
  <c r="F39" i="6" s="1"/>
  <c r="K34" i="5"/>
  <c r="G34" i="5"/>
  <c r="N34" i="5" s="1"/>
  <c r="K30" i="5"/>
  <c r="K31" i="6" s="1"/>
  <c r="G30" i="5"/>
  <c r="N30" i="5" s="1"/>
  <c r="K26" i="5"/>
  <c r="G26" i="5"/>
  <c r="N26" i="5" s="1"/>
  <c r="K22" i="5"/>
  <c r="G22" i="5"/>
  <c r="N22" i="5" s="1"/>
  <c r="I46" i="4"/>
  <c r="C46" i="4"/>
  <c r="D40" i="4"/>
  <c r="D39" i="6" s="1"/>
  <c r="H40" i="4"/>
  <c r="H39" i="6" s="1"/>
  <c r="L40" i="4"/>
  <c r="L39" i="6" s="1"/>
  <c r="J40" i="4"/>
  <c r="J39" i="6" s="1"/>
  <c r="E40" i="4"/>
  <c r="E39" i="6" s="1"/>
  <c r="D32" i="4"/>
  <c r="D38" i="4" s="1"/>
  <c r="H32" i="4"/>
  <c r="H31" i="6" s="1"/>
  <c r="L32" i="4"/>
  <c r="L31" i="6" s="1"/>
  <c r="E32" i="4"/>
  <c r="E31" i="6" s="1"/>
  <c r="I32" i="4"/>
  <c r="I31" i="6" s="1"/>
  <c r="M32" i="4"/>
  <c r="M31" i="6" s="1"/>
  <c r="G32" i="4"/>
  <c r="G31" i="6" s="1"/>
  <c r="I9" i="4"/>
  <c r="D9" i="4"/>
  <c r="K34" i="4"/>
  <c r="K33" i="6" s="1"/>
  <c r="G34" i="4"/>
  <c r="N34" i="4" s="1"/>
  <c r="K30" i="4"/>
  <c r="K29" i="6" s="1"/>
  <c r="G30" i="4"/>
  <c r="G29" i="6" s="1"/>
  <c r="K26" i="4"/>
  <c r="K25" i="6" s="1"/>
  <c r="G26" i="4"/>
  <c r="G25" i="6" s="1"/>
  <c r="L18" i="4"/>
  <c r="H18" i="4"/>
  <c r="D18" i="4"/>
  <c r="O17" i="4"/>
  <c r="O22" i="4" s="1"/>
  <c r="O42" i="4" s="1"/>
  <c r="J5" i="3"/>
  <c r="N28" i="2"/>
  <c r="K25" i="2"/>
  <c r="K25" i="3" s="1"/>
  <c r="K12" i="3"/>
  <c r="G25" i="2"/>
  <c r="G25" i="3" s="1"/>
  <c r="G12" i="3"/>
  <c r="N13" i="2"/>
  <c r="C12" i="3"/>
  <c r="N12" i="3" s="1"/>
  <c r="H6" i="2"/>
  <c r="H20" i="2"/>
  <c r="H18" i="2" s="1"/>
  <c r="N8" i="2"/>
  <c r="D6" i="2"/>
  <c r="L6" i="2"/>
  <c r="K18" i="4"/>
  <c r="G18" i="4"/>
  <c r="K5" i="4"/>
  <c r="K10" i="4"/>
  <c r="G5" i="4"/>
  <c r="G10" i="4"/>
  <c r="G11" i="4"/>
  <c r="C5" i="4"/>
  <c r="N5" i="4" s="1"/>
  <c r="P5" i="4" s="1"/>
  <c r="C10" i="4"/>
  <c r="C11" i="4"/>
  <c r="O5" i="3"/>
  <c r="N26" i="2"/>
  <c r="B26" i="3"/>
  <c r="N22" i="2"/>
  <c r="I18" i="2"/>
  <c r="N24" i="2"/>
  <c r="K8" i="3"/>
  <c r="K21" i="2"/>
  <c r="N9" i="2"/>
  <c r="K6" i="2"/>
  <c r="G6" i="2"/>
  <c r="C6" i="2"/>
  <c r="K6" i="1"/>
  <c r="K20" i="1"/>
  <c r="G6" i="1"/>
  <c r="G20" i="1"/>
  <c r="G6" i="3"/>
  <c r="G5" i="3" s="1"/>
  <c r="C6" i="1"/>
  <c r="N7" i="1"/>
  <c r="C20" i="1"/>
  <c r="C6" i="3"/>
  <c r="J6" i="2"/>
  <c r="F6" i="2"/>
  <c r="B6" i="2"/>
  <c r="H19" i="1"/>
  <c r="B19" i="1"/>
  <c r="N11" i="1"/>
  <c r="C24" i="1"/>
  <c r="M6" i="1"/>
  <c r="I6" i="1"/>
  <c r="E6" i="1"/>
  <c r="D18" i="2"/>
  <c r="N15" i="2"/>
  <c r="N12" i="2"/>
  <c r="M6" i="2"/>
  <c r="M6" i="3"/>
  <c r="I6" i="2"/>
  <c r="I6" i="3"/>
  <c r="E6" i="2"/>
  <c r="E6" i="3"/>
  <c r="N25" i="1"/>
  <c r="F19" i="1"/>
  <c r="N27" i="1"/>
  <c r="N13" i="1"/>
  <c r="N12" i="1"/>
  <c r="D25" i="1"/>
  <c r="D24" i="3" s="1"/>
  <c r="N24" i="3" s="1"/>
  <c r="M22" i="1"/>
  <c r="M8" i="3"/>
  <c r="I22" i="1"/>
  <c r="I8" i="3"/>
  <c r="E22" i="1"/>
  <c r="E8" i="3"/>
  <c r="C27" i="2"/>
  <c r="N27" i="2" s="1"/>
  <c r="C23" i="2"/>
  <c r="N23" i="2" s="1"/>
  <c r="J20" i="2"/>
  <c r="F20" i="2"/>
  <c r="F20" i="3" s="1"/>
  <c r="B20" i="2"/>
  <c r="K19" i="2"/>
  <c r="G19" i="2"/>
  <c r="G18" i="2" s="1"/>
  <c r="N7" i="2"/>
  <c r="D18" i="3" l="1"/>
  <c r="D9" i="7" s="1"/>
  <c r="K5" i="3"/>
  <c r="D5" i="3"/>
  <c r="N28" i="3"/>
  <c r="L5" i="3"/>
  <c r="J37" i="6"/>
  <c r="B44" i="6"/>
  <c r="L40" i="5"/>
  <c r="N20" i="2"/>
  <c r="B20" i="3"/>
  <c r="I21" i="3"/>
  <c r="I18" i="3" s="1"/>
  <c r="I9" i="7" s="1"/>
  <c r="I19" i="1"/>
  <c r="G9" i="4"/>
  <c r="G10" i="6"/>
  <c r="D45" i="4"/>
  <c r="D44" i="6" s="1"/>
  <c r="D45" i="6"/>
  <c r="B9" i="4"/>
  <c r="B22" i="4" s="1"/>
  <c r="B42" i="4" s="1"/>
  <c r="B10" i="6"/>
  <c r="N10" i="4"/>
  <c r="F10" i="6"/>
  <c r="J10" i="6"/>
  <c r="K45" i="4"/>
  <c r="K44" i="6" s="1"/>
  <c r="H27" i="6"/>
  <c r="H37" i="6" s="1"/>
  <c r="H38" i="4"/>
  <c r="I36" i="5"/>
  <c r="L25" i="6"/>
  <c r="L37" i="6" s="1"/>
  <c r="L36" i="5"/>
  <c r="B35" i="6"/>
  <c r="N36" i="4"/>
  <c r="O40" i="5"/>
  <c r="N8" i="3"/>
  <c r="K19" i="1"/>
  <c r="K19" i="3"/>
  <c r="J18" i="2"/>
  <c r="J20" i="3"/>
  <c r="J18" i="3" s="1"/>
  <c r="J9" i="7" s="1"/>
  <c r="E19" i="1"/>
  <c r="E21" i="3"/>
  <c r="C5" i="3"/>
  <c r="N6" i="3"/>
  <c r="K9" i="4"/>
  <c r="K10" i="6"/>
  <c r="K18" i="2"/>
  <c r="E5" i="3"/>
  <c r="M5" i="3"/>
  <c r="N24" i="1"/>
  <c r="C23" i="3"/>
  <c r="N23" i="3" s="1"/>
  <c r="N6" i="2"/>
  <c r="P6" i="2" s="1"/>
  <c r="C19" i="1"/>
  <c r="N20" i="1"/>
  <c r="C19" i="3"/>
  <c r="G19" i="1"/>
  <c r="G19" i="3"/>
  <c r="G18" i="3" s="1"/>
  <c r="G9" i="7" s="1"/>
  <c r="K21" i="3"/>
  <c r="N21" i="2"/>
  <c r="C18" i="2"/>
  <c r="G11" i="6"/>
  <c r="D12" i="6"/>
  <c r="D17" i="4"/>
  <c r="D22" i="4" s="1"/>
  <c r="D42" i="4" s="1"/>
  <c r="N18" i="4"/>
  <c r="N30" i="4"/>
  <c r="K23" i="6"/>
  <c r="K36" i="5"/>
  <c r="K38" i="4"/>
  <c r="H45" i="4"/>
  <c r="H44" i="6" s="1"/>
  <c r="H45" i="6"/>
  <c r="N13" i="4"/>
  <c r="B13" i="6"/>
  <c r="N13" i="6" s="1"/>
  <c r="F11" i="4"/>
  <c r="F11" i="6" s="1"/>
  <c r="G27" i="6"/>
  <c r="F20" i="5"/>
  <c r="F40" i="5" s="1"/>
  <c r="H9" i="4"/>
  <c r="H10" i="6"/>
  <c r="N26" i="4"/>
  <c r="L27" i="6"/>
  <c r="L38" i="4"/>
  <c r="C14" i="6"/>
  <c r="C10" i="5"/>
  <c r="C11" i="6" s="1"/>
  <c r="K14" i="6"/>
  <c r="K10" i="5"/>
  <c r="K11" i="6" s="1"/>
  <c r="N32" i="5"/>
  <c r="B33" i="6"/>
  <c r="N13" i="5"/>
  <c r="M36" i="5"/>
  <c r="N23" i="1"/>
  <c r="B22" i="3"/>
  <c r="N22" i="3" s="1"/>
  <c r="N15" i="3"/>
  <c r="G35" i="6"/>
  <c r="N25" i="3"/>
  <c r="I8" i="5"/>
  <c r="B18" i="2"/>
  <c r="F17" i="4"/>
  <c r="N10" i="3"/>
  <c r="G17" i="4"/>
  <c r="G22" i="4" s="1"/>
  <c r="G12" i="6"/>
  <c r="H17" i="4"/>
  <c r="H12" i="6"/>
  <c r="N22" i="1"/>
  <c r="E45" i="4"/>
  <c r="E44" i="6" s="1"/>
  <c r="E45" i="6"/>
  <c r="N19" i="4"/>
  <c r="B18" i="6"/>
  <c r="F27" i="6"/>
  <c r="F37" i="6" s="1"/>
  <c r="F38" i="4"/>
  <c r="C8" i="5"/>
  <c r="C20" i="5" s="1"/>
  <c r="C40" i="5" s="1"/>
  <c r="E22" i="4"/>
  <c r="E42" i="4" s="1"/>
  <c r="N40" i="4"/>
  <c r="I5" i="3"/>
  <c r="N26" i="3"/>
  <c r="C9" i="4"/>
  <c r="C10" i="6"/>
  <c r="K17" i="4"/>
  <c r="K22" i="4" s="1"/>
  <c r="K42" i="4" s="1"/>
  <c r="K12" i="6"/>
  <c r="L12" i="6"/>
  <c r="L17" i="4"/>
  <c r="I45" i="4"/>
  <c r="I44" i="6" s="1"/>
  <c r="I45" i="6"/>
  <c r="N26" i="1"/>
  <c r="J45" i="6"/>
  <c r="J45" i="4"/>
  <c r="J44" i="6" s="1"/>
  <c r="B5" i="6"/>
  <c r="N5" i="6" s="1"/>
  <c r="N6" i="6"/>
  <c r="B11" i="6"/>
  <c r="J11" i="4"/>
  <c r="J11" i="6" s="1"/>
  <c r="H18" i="6"/>
  <c r="H17" i="6" s="1"/>
  <c r="M21" i="6"/>
  <c r="E37" i="6"/>
  <c r="I38" i="4"/>
  <c r="N38" i="5"/>
  <c r="K27" i="6"/>
  <c r="N29" i="1"/>
  <c r="F45" i="4"/>
  <c r="F44" i="6" s="1"/>
  <c r="N4" i="5"/>
  <c r="P4" i="5" s="1"/>
  <c r="H20" i="3"/>
  <c r="H18" i="3" s="1"/>
  <c r="H9" i="7" s="1"/>
  <c r="G18" i="6"/>
  <c r="G17" i="6" s="1"/>
  <c r="C37" i="6"/>
  <c r="E18" i="3"/>
  <c r="E9" i="7" s="1"/>
  <c r="B38" i="4"/>
  <c r="D8" i="5"/>
  <c r="D20" i="5" s="1"/>
  <c r="D40" i="5" s="1"/>
  <c r="D10" i="6"/>
  <c r="M8" i="5"/>
  <c r="M20" i="5" s="1"/>
  <c r="M40" i="5" s="1"/>
  <c r="F18" i="3"/>
  <c r="F9" i="7" s="1"/>
  <c r="Q7" i="1"/>
  <c r="C45" i="4"/>
  <c r="C44" i="6" s="1"/>
  <c r="C45" i="6"/>
  <c r="N47" i="4"/>
  <c r="B46" i="6"/>
  <c r="N46" i="6" s="1"/>
  <c r="N17" i="5"/>
  <c r="B16" i="5"/>
  <c r="M38" i="4"/>
  <c r="M27" i="6"/>
  <c r="G8" i="5"/>
  <c r="G20" i="5" s="1"/>
  <c r="G40" i="5" s="1"/>
  <c r="N24" i="5"/>
  <c r="N36" i="5" s="1"/>
  <c r="P36" i="5" s="1"/>
  <c r="B25" i="6"/>
  <c r="N9" i="5"/>
  <c r="B8" i="5"/>
  <c r="N6" i="1"/>
  <c r="B30" i="2"/>
  <c r="L19" i="1"/>
  <c r="M19" i="1"/>
  <c r="M21" i="3"/>
  <c r="D19" i="1"/>
  <c r="G33" i="6"/>
  <c r="C17" i="4"/>
  <c r="C22" i="4" s="1"/>
  <c r="C42" i="4" s="1"/>
  <c r="D31" i="6"/>
  <c r="N31" i="6" s="1"/>
  <c r="N32" i="4"/>
  <c r="N38" i="4" s="1"/>
  <c r="P38" i="4" s="1"/>
  <c r="G36" i="5"/>
  <c r="G23" i="6"/>
  <c r="N21" i="1"/>
  <c r="G38" i="4"/>
  <c r="L45" i="6"/>
  <c r="L45" i="4"/>
  <c r="L44" i="6" s="1"/>
  <c r="M18" i="3"/>
  <c r="M9" i="7" s="1"/>
  <c r="N14" i="4"/>
  <c r="B14" i="6"/>
  <c r="E5" i="6"/>
  <c r="N7" i="6"/>
  <c r="I17" i="4"/>
  <c r="I22" i="4" s="1"/>
  <c r="I18" i="6"/>
  <c r="I17" i="6" s="1"/>
  <c r="E38" i="4"/>
  <c r="M37" i="6"/>
  <c r="J20" i="5"/>
  <c r="I20" i="5"/>
  <c r="N28" i="5"/>
  <c r="B29" i="6"/>
  <c r="N29" i="6" s="1"/>
  <c r="C25" i="6"/>
  <c r="N12" i="5"/>
  <c r="L9" i="4"/>
  <c r="L10" i="6"/>
  <c r="L9" i="6" s="1"/>
  <c r="L21" i="6" s="1"/>
  <c r="L41" i="6" s="1"/>
  <c r="L11" i="7" s="1"/>
  <c r="N46" i="4"/>
  <c r="B36" i="5"/>
  <c r="Q8" i="1"/>
  <c r="N9" i="3"/>
  <c r="B5" i="3"/>
  <c r="N28" i="1"/>
  <c r="C27" i="3"/>
  <c r="N27" i="3" s="1"/>
  <c r="J38" i="4"/>
  <c r="K35" i="6"/>
  <c r="E8" i="5"/>
  <c r="E20" i="5" s="1"/>
  <c r="E40" i="5" s="1"/>
  <c r="N25" i="2"/>
  <c r="I9" i="6"/>
  <c r="N19" i="2"/>
  <c r="N28" i="4"/>
  <c r="E10" i="6"/>
  <c r="E9" i="6" s="1"/>
  <c r="E21" i="6" s="1"/>
  <c r="E41" i="6" s="1"/>
  <c r="E11" i="7" s="1"/>
  <c r="J36" i="5"/>
  <c r="M17" i="4"/>
  <c r="M22" i="4" s="1"/>
  <c r="L18" i="3"/>
  <c r="L9" i="7" s="1"/>
  <c r="G45" i="4"/>
  <c r="G44" i="6" s="1"/>
  <c r="N21" i="3" l="1"/>
  <c r="B18" i="3"/>
  <c r="B9" i="7" s="1"/>
  <c r="E13" i="7"/>
  <c r="B17" i="6"/>
  <c r="N18" i="6"/>
  <c r="G42" i="4"/>
  <c r="K37" i="6"/>
  <c r="N19" i="1"/>
  <c r="N9" i="7" s="1"/>
  <c r="J9" i="4"/>
  <c r="J22" i="4" s="1"/>
  <c r="J42" i="4" s="1"/>
  <c r="L13" i="7"/>
  <c r="Q6" i="1"/>
  <c r="P6" i="1"/>
  <c r="Q15" i="1"/>
  <c r="Q9" i="1"/>
  <c r="Q10" i="1"/>
  <c r="Q14" i="1"/>
  <c r="B20" i="5"/>
  <c r="B40" i="5" s="1"/>
  <c r="N40" i="5" s="1"/>
  <c r="P40" i="5" s="1"/>
  <c r="N16" i="5"/>
  <c r="D9" i="6"/>
  <c r="D21" i="6" s="1"/>
  <c r="F9" i="6"/>
  <c r="F21" i="6" s="1"/>
  <c r="F41" i="6" s="1"/>
  <c r="F11" i="7" s="1"/>
  <c r="I13" i="7"/>
  <c r="M42" i="4"/>
  <c r="N18" i="2"/>
  <c r="N5" i="3"/>
  <c r="B11" i="10" s="1"/>
  <c r="N10" i="5"/>
  <c r="I40" i="5"/>
  <c r="I21" i="6"/>
  <c r="I41" i="6" s="1"/>
  <c r="I11" i="7" s="1"/>
  <c r="G37" i="6"/>
  <c r="N8" i="5"/>
  <c r="N45" i="6"/>
  <c r="Q12" i="1"/>
  <c r="M41" i="6"/>
  <c r="M11" i="7" s="1"/>
  <c r="N11" i="6"/>
  <c r="L22" i="4"/>
  <c r="L42" i="4" s="1"/>
  <c r="C9" i="6"/>
  <c r="C21" i="6" s="1"/>
  <c r="C41" i="6" s="1"/>
  <c r="C11" i="7" s="1"/>
  <c r="H22" i="4"/>
  <c r="H42" i="4" s="1"/>
  <c r="Q11" i="1"/>
  <c r="N33" i="6"/>
  <c r="J13" i="7"/>
  <c r="Q13" i="1"/>
  <c r="N35" i="6"/>
  <c r="K8" i="5"/>
  <c r="K20" i="5" s="1"/>
  <c r="K40" i="5" s="1"/>
  <c r="F9" i="4"/>
  <c r="F22" i="4" s="1"/>
  <c r="F42" i="4" s="1"/>
  <c r="N42" i="4" s="1"/>
  <c r="N20" i="3"/>
  <c r="N25" i="6"/>
  <c r="B37" i="6"/>
  <c r="N12" i="6"/>
  <c r="K9" i="6"/>
  <c r="K21" i="6" s="1"/>
  <c r="K41" i="6" s="1"/>
  <c r="K11" i="7" s="1"/>
  <c r="K18" i="3"/>
  <c r="K9" i="7" s="1"/>
  <c r="K13" i="7" s="1"/>
  <c r="N10" i="6"/>
  <c r="B9" i="6"/>
  <c r="N45" i="4"/>
  <c r="P45" i="4" s="1"/>
  <c r="M13" i="7"/>
  <c r="B31" i="1"/>
  <c r="N19" i="3"/>
  <c r="N18" i="3" s="1"/>
  <c r="N23" i="6"/>
  <c r="N11" i="4"/>
  <c r="D37" i="6"/>
  <c r="G9" i="6"/>
  <c r="G21" i="6" s="1"/>
  <c r="G41" i="6" s="1"/>
  <c r="G11" i="7" s="1"/>
  <c r="G13" i="7" s="1"/>
  <c r="J40" i="5"/>
  <c r="I42" i="4"/>
  <c r="N14" i="6"/>
  <c r="F13" i="7"/>
  <c r="Q16" i="1"/>
  <c r="N27" i="6"/>
  <c r="H9" i="6"/>
  <c r="H21" i="6" s="1"/>
  <c r="H41" i="6" s="1"/>
  <c r="H11" i="7" s="1"/>
  <c r="H13" i="7" s="1"/>
  <c r="C18" i="3"/>
  <c r="C9" i="7" s="1"/>
  <c r="J9" i="6"/>
  <c r="J21" i="6" s="1"/>
  <c r="J41" i="6" s="1"/>
  <c r="J11" i="7" s="1"/>
  <c r="N44" i="6"/>
  <c r="N17" i="4"/>
  <c r="H16" i="7" l="1"/>
  <c r="H22" i="7"/>
  <c r="G22" i="7"/>
  <c r="G16" i="7"/>
  <c r="N11" i="7"/>
  <c r="N13" i="7" s="1"/>
  <c r="P42" i="4"/>
  <c r="K22" i="7"/>
  <c r="K16" i="7"/>
  <c r="D41" i="6"/>
  <c r="D11" i="7" s="1"/>
  <c r="D13" i="7" s="1"/>
  <c r="E16" i="7"/>
  <c r="E22" i="7"/>
  <c r="P17" i="4"/>
  <c r="F22" i="7"/>
  <c r="F16" i="7"/>
  <c r="M16" i="7"/>
  <c r="M22" i="7"/>
  <c r="J16" i="7"/>
  <c r="J22" i="7"/>
  <c r="I16" i="7"/>
  <c r="I22" i="7"/>
  <c r="N9" i="4"/>
  <c r="P9" i="4" s="1"/>
  <c r="N37" i="6"/>
  <c r="B21" i="6"/>
  <c r="B41" i="6" s="1"/>
  <c r="N17" i="6"/>
  <c r="N9" i="6"/>
  <c r="C13" i="7"/>
  <c r="P16" i="5"/>
  <c r="N20" i="5"/>
  <c r="P20" i="5" s="1"/>
  <c r="L16" i="7"/>
  <c r="L22" i="7"/>
  <c r="C16" i="7" l="1"/>
  <c r="C22" i="7"/>
  <c r="N22" i="4"/>
  <c r="P22" i="4" s="1"/>
  <c r="D16" i="7"/>
  <c r="D22" i="7"/>
  <c r="N21" i="6"/>
  <c r="B11" i="7"/>
  <c r="B13" i="7" s="1"/>
  <c r="N41" i="6"/>
  <c r="B16" i="7" l="1"/>
  <c r="B22" i="7"/>
  <c r="N22" i="7" s="1"/>
  <c r="B14" i="7"/>
  <c r="B17" i="7" l="1"/>
  <c r="B18" i="7" s="1"/>
  <c r="C14" i="7"/>
  <c r="N16" i="7"/>
  <c r="B20" i="7" l="1"/>
  <c r="D14" i="7"/>
  <c r="C17" i="7"/>
  <c r="C18" i="7" s="1"/>
  <c r="C20" i="7" s="1"/>
  <c r="C24" i="7" s="1"/>
  <c r="E14" i="7" l="1"/>
  <c r="D17" i="7"/>
  <c r="D18" i="7" s="1"/>
  <c r="D20" i="7" s="1"/>
  <c r="D24" i="7" s="1"/>
  <c r="B24" i="7"/>
  <c r="F14" i="7" l="1"/>
  <c r="E17" i="7"/>
  <c r="E18" i="7" s="1"/>
  <c r="E20" i="7" s="1"/>
  <c r="E24" i="7" s="1"/>
  <c r="G14" i="7" l="1"/>
  <c r="F17" i="7"/>
  <c r="F18" i="7" s="1"/>
  <c r="F20" i="7" s="1"/>
  <c r="F24" i="7" s="1"/>
  <c r="H14" i="7" l="1"/>
  <c r="G17" i="7"/>
  <c r="G18" i="7" s="1"/>
  <c r="G20" i="7" s="1"/>
  <c r="G24" i="7" s="1"/>
  <c r="I14" i="7" l="1"/>
  <c r="H17" i="7"/>
  <c r="H18" i="7" s="1"/>
  <c r="H20" i="7" s="1"/>
  <c r="H24" i="7" s="1"/>
  <c r="J14" i="7" l="1"/>
  <c r="I17" i="7"/>
  <c r="I18" i="7" s="1"/>
  <c r="I20" i="7" s="1"/>
  <c r="I24" i="7" s="1"/>
  <c r="K14" i="7" l="1"/>
  <c r="J17" i="7"/>
  <c r="J18" i="7" s="1"/>
  <c r="J20" i="7" s="1"/>
  <c r="J24" i="7" s="1"/>
  <c r="L14" i="7" l="1"/>
  <c r="K17" i="7"/>
  <c r="K18" i="7" s="1"/>
  <c r="K20" i="7" s="1"/>
  <c r="K24" i="7" s="1"/>
  <c r="M14" i="7" l="1"/>
  <c r="M17" i="7" s="1"/>
  <c r="L17" i="7"/>
  <c r="L18" i="7" s="1"/>
  <c r="L20" i="7" s="1"/>
  <c r="L24" i="7" s="1"/>
  <c r="M18" i="7" l="1"/>
  <c r="N17" i="7"/>
  <c r="M20" i="7" l="1"/>
  <c r="N18" i="7"/>
  <c r="M24" i="7" l="1"/>
  <c r="N24" i="7" s="1"/>
  <c r="N20" i="7"/>
  <c r="C19" i="10" l="1"/>
  <c r="D19" i="10" s="1"/>
  <c r="C23" i="10"/>
  <c r="D23" i="10" s="1"/>
  <c r="C21" i="10"/>
  <c r="D21" i="10" s="1"/>
</calcChain>
</file>

<file path=xl/sharedStrings.xml><?xml version="1.0" encoding="utf-8"?>
<sst xmlns="http://schemas.openxmlformats.org/spreadsheetml/2006/main" count="328" uniqueCount="99">
  <si>
    <t>RECEITAS OPERACIONAIS E MARGENS DE CONTRIBUIÇÃO - FILIAL A</t>
  </si>
  <si>
    <t>TOTAL</t>
  </si>
  <si>
    <t>% cresc.</t>
  </si>
  <si>
    <t>% 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</si>
  <si>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</si>
  <si>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</si>
  <si>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</si>
  <si>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</si>
  <si>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</si>
  <si>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</si>
  <si>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</si>
  <si>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</si>
  <si>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</si>
  <si>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</si>
  <si>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</si>
  <si>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</si>
  <si>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PREVISTO</t>
  </si>
  <si>
    <t>ANTERIOR</t>
  </si>
  <si>
    <t>Previsto</t>
  </si>
  <si>
    <t xml:space="preserve">RECEITAS </t>
  </si>
  <si>
    <t>Linha 1</t>
  </si>
  <si>
    <t>Linha 2</t>
  </si>
  <si>
    <t>Linha 3</t>
  </si>
  <si>
    <t>Linha 4</t>
  </si>
  <si>
    <t>Linha 5</t>
  </si>
  <si>
    <t>Linha 6</t>
  </si>
  <si>
    <t>Linha 7</t>
  </si>
  <si>
    <t>Linha 8</t>
  </si>
  <si>
    <t>Linha 9</t>
  </si>
  <si>
    <t>Linha 10</t>
  </si>
  <si>
    <t xml:space="preserve"> M.CONTRIB.</t>
  </si>
  <si>
    <t>% M.CONTRIB.</t>
  </si>
  <si>
    <t>Fatores Sazonais</t>
  </si>
  <si>
    <t>RECEITAS OPERACIONAIS E MARGENS DE CONTRIBUIÇÃO - FILIAL B</t>
  </si>
  <si>
    <t>RECEITAS</t>
  </si>
  <si>
    <t>RECEITAS OPERACIONAIS E MARGENS DE CONTRIBUIÇÃO - TOTAL GERAL</t>
  </si>
  <si>
    <t>CUSTOS FIXOS OPERACIONAIS : FILIAL A</t>
  </si>
  <si>
    <t>VAR.%</t>
  </si>
  <si>
    <t>REMUNERAÇÕES</t>
  </si>
  <si>
    <t>Salários</t>
  </si>
  <si>
    <t>Pro-labore</t>
  </si>
  <si>
    <t>ENCARGOS SOCIAIS</t>
  </si>
  <si>
    <t>INSS</t>
  </si>
  <si>
    <t>FGTS</t>
  </si>
  <si>
    <t>Vale Transporte + Refeição</t>
  </si>
  <si>
    <t>Férias</t>
  </si>
  <si>
    <t>13 Salário</t>
  </si>
  <si>
    <t>Indenizações</t>
  </si>
  <si>
    <t xml:space="preserve">BENEFÍCIOS </t>
  </si>
  <si>
    <t>Vale Refeição</t>
  </si>
  <si>
    <t>Treinamento</t>
  </si>
  <si>
    <t>Plano de Saúde</t>
  </si>
  <si>
    <t>TOTAL PESSOAL</t>
  </si>
  <si>
    <t>OCUPAÇÃO</t>
  </si>
  <si>
    <t>TARIFAS PÚBLICAS</t>
  </si>
  <si>
    <t>REPAROS E MANUTENÇÃO</t>
  </si>
  <si>
    <t>SERVIÇOS DE TERCEIROS</t>
  </si>
  <si>
    <t>MARKETING</t>
  </si>
  <si>
    <t>VIAGEM</t>
  </si>
  <si>
    <t>DESPESAS GERAIS</t>
  </si>
  <si>
    <t>TOTAL ADMINISTRATIVAS</t>
  </si>
  <si>
    <t>FINANCEIRAS</t>
  </si>
  <si>
    <t>CUSTO FIXO TOTAL</t>
  </si>
  <si>
    <t>INVESTIMENTOS</t>
  </si>
  <si>
    <t>Equipamentos</t>
  </si>
  <si>
    <t>Imobilizado Geral</t>
  </si>
  <si>
    <t>CUSTOS FIXOS OPERACIONAIS : FILIAL B</t>
  </si>
  <si>
    <t>-</t>
  </si>
  <si>
    <t>Vale Transporte+Refeição</t>
  </si>
  <si>
    <t>Rede de Micros</t>
  </si>
  <si>
    <t>CUSTOS FIXOS OPERACIONAIS : TOTAL GERAL</t>
  </si>
  <si>
    <t>Salários Carteira</t>
  </si>
  <si>
    <t>LUCRO Antes.I.R./C.S.</t>
  </si>
  <si>
    <t>LUCRO ACUMULADO</t>
  </si>
  <si>
    <t>I.R.P.J. MES</t>
  </si>
  <si>
    <t>I.R.P.J. ADICIONAL</t>
  </si>
  <si>
    <t>I.R.P.J. TOTAL</t>
  </si>
  <si>
    <t>Lucro depois I.R.</t>
  </si>
  <si>
    <t>C.SOCIAL</t>
  </si>
  <si>
    <t xml:space="preserve">LUCRO LÍQUIDO </t>
  </si>
  <si>
    <t>INDICADORES DE RESULTADO E RENTABILIDADE : TOTAL EMPRESA</t>
  </si>
  <si>
    <t>DADOS:</t>
  </si>
  <si>
    <t>R$</t>
  </si>
  <si>
    <t xml:space="preserve">PATRIMÔNIO LÍQUIDO </t>
  </si>
  <si>
    <t>ATIVO TOTAL ESTIMADO</t>
  </si>
  <si>
    <t>FATURAMENTO ESTIMADO</t>
  </si>
  <si>
    <t>ANÁLISE DOS ÍNDICES DE RENTABILIDADE</t>
  </si>
  <si>
    <t>%</t>
  </si>
  <si>
    <t>OBJETIVO</t>
  </si>
  <si>
    <t>REALIZADO</t>
  </si>
  <si>
    <t>VARIAÇÃO</t>
  </si>
  <si>
    <t>RETORNO/P.LÍQUIDO</t>
  </si>
  <si>
    <t>RETORNO/ ATIVO TOTAL</t>
  </si>
  <si>
    <t>LUCRAT./FATURAMENTO</t>
  </si>
  <si>
    <t>Total</t>
  </si>
  <si>
    <t>Anterior</t>
  </si>
  <si>
    <t>Atual</t>
  </si>
  <si>
    <t>Prevista</t>
  </si>
  <si>
    <t>ANÁLISE DOS RESULTADOS TOTAIS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</si>
</sst>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(* #,##0.00_);_(* \(#,##0.00\);_(* &quot;-&quot;??_);_(@_)"/>
    <numFmt numFmtId="184" formatCode="_(* #,##0.0_);_(* \(#,##0.0\);_(* &quot;-&quot;??_);_(@_)"/>
    <numFmt numFmtId="185" formatCode="_(* #,##0_);_(* \(#,##0\);_(* &quot;-&quot;??_);_(@_)"/>
    <numFmt numFmtId="188" formatCode="0.0%"/>
  </numFmts>
  <fonts count="3" x14ac:knownFonts="1">
    <font>
      <sz val="10"/>
      <name val="Arial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185" fontId="1" fillId="0" borderId="0" xfId="2" applyNumberFormat="1" applyFont="1" applyAlignment="1">
      <alignment horizontal="center"/>
    </xf>
    <xf numFmtId="0" fontId="1" fillId="0" borderId="0" xfId="0" applyFont="1"/>
    <xf numFmtId="38" fontId="1" fillId="0" borderId="0" xfId="0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38" fontId="1" fillId="0" borderId="0" xfId="0" applyNumberFormat="1" applyFont="1"/>
    <xf numFmtId="38" fontId="1" fillId="0" borderId="0" xfId="0" applyNumberFormat="1" applyFont="1" applyBorder="1" applyAlignment="1">
      <alignment horizontal="center"/>
    </xf>
    <xf numFmtId="38" fontId="1" fillId="0" borderId="0" xfId="0" applyNumberFormat="1" applyFon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84" fontId="1" fillId="0" borderId="0" xfId="2" applyNumberFormat="1" applyFont="1" applyAlignment="1">
      <alignment horizontal="center"/>
    </xf>
    <xf numFmtId="38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8" fontId="1" fillId="0" borderId="0" xfId="0" applyNumberFormat="1" applyFont="1" applyFill="1" applyAlignment="1">
      <alignment horizontal="center"/>
    </xf>
    <xf numFmtId="188" fontId="1" fillId="2" borderId="0" xfId="1" applyNumberFormat="1" applyFont="1" applyFill="1" applyAlignment="1">
      <alignment horizontal="center"/>
    </xf>
    <xf numFmtId="9" fontId="1" fillId="0" borderId="0" xfId="1" applyFont="1" applyAlignment="1">
      <alignment horizontal="center"/>
    </xf>
    <xf numFmtId="188" fontId="1" fillId="0" borderId="0" xfId="1" applyNumberFormat="1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0"/>
  <sheetViews>
    <sheetView workbookViewId="0">
      <selection activeCell="P22" sqref="P22"/>
    </sheetView>
  </sheetViews>
  <sheetFormatPr defaultColWidth="11.42578125" defaultRowHeight="12.75" x14ac:dyDescent="0.2"/>
  <cols>
    <col min="1" max="1" width="16.5703125" style="1" customWidth="1"/>
    <col min="2" max="6" width="7.5703125" style="3" customWidth="1"/>
    <col min="7" max="12" width="9.140625" style="3" customWidth="1"/>
    <col min="13" max="13" width="7.5703125" style="3" customWidth="1"/>
    <col min="14" max="14" width="10.140625" style="2" customWidth="1"/>
    <col min="15" max="15" width="10.28515625" style="2" customWidth="1"/>
    <col min="16" max="16" width="9.28515625" style="1" customWidth="1"/>
    <col min="17" max="17" width="10.28515625" style="4" hidden="1" customWidth="1"/>
    <col min="18" max="18" width="10.28515625" style="1" hidden="1" customWidth="1"/>
    <col min="19" max="16384" width="11.42578125" style="5"/>
  </cols>
  <sheetData>
    <row r="2" spans="1:18" x14ac:dyDescent="0.2">
      <c r="B2" s="3" t="s">
        <v>0</v>
      </c>
    </row>
    <row r="3" spans="1:18" x14ac:dyDescent="0.2">
      <c r="N3" s="2" t="s">
        <v>1</v>
      </c>
      <c r="O3" s="2" t="s">
        <v>1</v>
      </c>
      <c r="P3" s="1" t="s">
        <v>2</v>
      </c>
      <c r="Q3" s="4" t="s">
        <v>3</v>
      </c>
      <c r="R3" s="4" t="s">
        <v>3</v>
      </c>
    </row>
    <row r="4" spans="1:18" x14ac:dyDescent="0.2"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1" t="s">
        <v>18</v>
      </c>
      <c r="Q4" s="7">
        <v>1997</v>
      </c>
      <c r="R4" s="1">
        <v>96</v>
      </c>
    </row>
    <row r="5" spans="1:18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">
      <c r="A6" s="1" t="s">
        <v>19</v>
      </c>
      <c r="B6" s="16">
        <f>SUM(B7:B16)</f>
        <v>598020</v>
      </c>
      <c r="C6" s="16">
        <f>SUM(C7:C16)</f>
        <v>598020</v>
      </c>
      <c r="D6" s="16">
        <f>SUM(D7:D16)</f>
        <v>598020</v>
      </c>
      <c r="E6" s="16">
        <f>SUM(E7:E16)</f>
        <v>598020</v>
      </c>
      <c r="F6" s="16">
        <f>SUM(F7:F16)</f>
        <v>797360</v>
      </c>
      <c r="G6" s="16">
        <f t="shared" ref="G6:M6" si="0">SUM(G7:G16)</f>
        <v>996700</v>
      </c>
      <c r="H6" s="16">
        <f t="shared" si="0"/>
        <v>996700</v>
      </c>
      <c r="I6" s="16">
        <f t="shared" si="0"/>
        <v>996700</v>
      </c>
      <c r="J6" s="16">
        <f t="shared" si="0"/>
        <v>996700</v>
      </c>
      <c r="K6" s="16">
        <f t="shared" si="0"/>
        <v>1196040</v>
      </c>
      <c r="L6" s="16">
        <f t="shared" si="0"/>
        <v>996700</v>
      </c>
      <c r="M6" s="16">
        <f t="shared" si="0"/>
        <v>598020</v>
      </c>
      <c r="N6" s="16">
        <f t="shared" ref="N6:N14" si="1">SUM(B6:M6)</f>
        <v>9967000</v>
      </c>
      <c r="O6" s="16">
        <f>SUM(O7:O16)</f>
        <v>8870000</v>
      </c>
      <c r="P6" s="15">
        <f>(N6/O6-1)*100</f>
        <v>12.367531003382194</v>
      </c>
      <c r="Q6" s="7">
        <f>N6/$N$6*100</f>
        <v>100</v>
      </c>
      <c r="R6" s="7">
        <f>O6/$O$6*100</f>
        <v>100</v>
      </c>
    </row>
    <row r="7" spans="1:18" x14ac:dyDescent="0.2">
      <c r="A7" s="1" t="s">
        <v>20</v>
      </c>
      <c r="B7" s="16">
        <f t="shared" ref="B7:M7" si="2">$O7*(1+($P7/100))*(B43/100)</f>
        <v>171600</v>
      </c>
      <c r="C7" s="16">
        <f t="shared" si="2"/>
        <v>171600</v>
      </c>
      <c r="D7" s="16">
        <f t="shared" si="2"/>
        <v>171600</v>
      </c>
      <c r="E7" s="16">
        <f t="shared" si="2"/>
        <v>171600</v>
      </c>
      <c r="F7" s="16">
        <f t="shared" si="2"/>
        <v>228800</v>
      </c>
      <c r="G7" s="16">
        <f t="shared" si="2"/>
        <v>286000</v>
      </c>
      <c r="H7" s="16">
        <f t="shared" si="2"/>
        <v>286000</v>
      </c>
      <c r="I7" s="16">
        <f t="shared" si="2"/>
        <v>286000</v>
      </c>
      <c r="J7" s="16">
        <f t="shared" si="2"/>
        <v>286000</v>
      </c>
      <c r="K7" s="16">
        <f t="shared" si="2"/>
        <v>343200</v>
      </c>
      <c r="L7" s="16">
        <f t="shared" si="2"/>
        <v>286000</v>
      </c>
      <c r="M7" s="16">
        <f t="shared" si="2"/>
        <v>171600</v>
      </c>
      <c r="N7" s="16">
        <f t="shared" si="1"/>
        <v>2860000</v>
      </c>
      <c r="O7" s="2">
        <v>2200000</v>
      </c>
      <c r="P7" s="6">
        <v>30</v>
      </c>
      <c r="Q7" s="7">
        <f t="shared" ref="Q7:Q16" si="3">N7/$N$6*100</f>
        <v>28.694692485201163</v>
      </c>
      <c r="R7" s="7">
        <f t="shared" ref="R7:R16" si="4">O7/$O$6*100</f>
        <v>24.80270574971815</v>
      </c>
    </row>
    <row r="8" spans="1:18" x14ac:dyDescent="0.2">
      <c r="A8" s="1" t="s">
        <v>21</v>
      </c>
      <c r="B8" s="16">
        <f t="shared" ref="B8:M8" si="5">$O8*(1+($P8/100))*(B43/100)</f>
        <v>80640.000000000015</v>
      </c>
      <c r="C8" s="16">
        <f t="shared" si="5"/>
        <v>80640.000000000015</v>
      </c>
      <c r="D8" s="16">
        <f t="shared" si="5"/>
        <v>80640.000000000015</v>
      </c>
      <c r="E8" s="16">
        <f t="shared" si="5"/>
        <v>80640.000000000015</v>
      </c>
      <c r="F8" s="16">
        <f t="shared" si="5"/>
        <v>107520.00000000001</v>
      </c>
      <c r="G8" s="16">
        <f t="shared" si="5"/>
        <v>134400.00000000003</v>
      </c>
      <c r="H8" s="16">
        <f t="shared" si="5"/>
        <v>134400.00000000003</v>
      </c>
      <c r="I8" s="16">
        <f t="shared" si="5"/>
        <v>134400.00000000003</v>
      </c>
      <c r="J8" s="16">
        <f t="shared" si="5"/>
        <v>134400.00000000003</v>
      </c>
      <c r="K8" s="16">
        <f t="shared" si="5"/>
        <v>161280.00000000003</v>
      </c>
      <c r="L8" s="16">
        <f t="shared" si="5"/>
        <v>134400.00000000003</v>
      </c>
      <c r="M8" s="16">
        <f t="shared" si="5"/>
        <v>80640.000000000015</v>
      </c>
      <c r="N8" s="16">
        <f t="shared" si="1"/>
        <v>1344000.0000000002</v>
      </c>
      <c r="O8" s="2">
        <v>1200000</v>
      </c>
      <c r="P8" s="6">
        <v>12</v>
      </c>
      <c r="Q8" s="7">
        <f t="shared" si="3"/>
        <v>13.484498846192439</v>
      </c>
      <c r="R8" s="7">
        <f t="shared" si="4"/>
        <v>13.528748590755354</v>
      </c>
    </row>
    <row r="9" spans="1:18" x14ac:dyDescent="0.2">
      <c r="A9" s="1" t="s">
        <v>22</v>
      </c>
      <c r="B9" s="16">
        <f t="shared" ref="B9:M9" si="6">$O9*(1+($P9/100))*(B43/100)</f>
        <v>151800</v>
      </c>
      <c r="C9" s="16">
        <f t="shared" si="6"/>
        <v>151800</v>
      </c>
      <c r="D9" s="16">
        <f t="shared" si="6"/>
        <v>151800</v>
      </c>
      <c r="E9" s="16">
        <f t="shared" si="6"/>
        <v>151800</v>
      </c>
      <c r="F9" s="16">
        <f t="shared" si="6"/>
        <v>202400</v>
      </c>
      <c r="G9" s="16">
        <f t="shared" si="6"/>
        <v>253000</v>
      </c>
      <c r="H9" s="16">
        <f t="shared" si="6"/>
        <v>253000</v>
      </c>
      <c r="I9" s="16">
        <f t="shared" si="6"/>
        <v>253000</v>
      </c>
      <c r="J9" s="16">
        <f t="shared" si="6"/>
        <v>253000</v>
      </c>
      <c r="K9" s="16">
        <f t="shared" si="6"/>
        <v>303600</v>
      </c>
      <c r="L9" s="16">
        <f t="shared" si="6"/>
        <v>253000</v>
      </c>
      <c r="M9" s="16">
        <f t="shared" si="6"/>
        <v>151800</v>
      </c>
      <c r="N9" s="16">
        <f t="shared" si="1"/>
        <v>2530000</v>
      </c>
      <c r="O9" s="2">
        <v>2300000</v>
      </c>
      <c r="P9" s="6">
        <v>10</v>
      </c>
      <c r="Q9" s="7">
        <f t="shared" si="3"/>
        <v>25.383766429216415</v>
      </c>
      <c r="R9" s="7">
        <f t="shared" si="4"/>
        <v>25.930101465614431</v>
      </c>
    </row>
    <row r="10" spans="1:18" x14ac:dyDescent="0.2">
      <c r="A10" s="1" t="s">
        <v>23</v>
      </c>
      <c r="B10" s="16">
        <f>$O10*(1+($P10/100))*(B43/100)</f>
        <v>50400</v>
      </c>
      <c r="C10" s="16">
        <f t="shared" ref="C10:M10" si="7">$O10*(1+($P10/100))*(C43/100)</f>
        <v>50400</v>
      </c>
      <c r="D10" s="16">
        <f t="shared" si="7"/>
        <v>50400</v>
      </c>
      <c r="E10" s="16">
        <f t="shared" si="7"/>
        <v>50400</v>
      </c>
      <c r="F10" s="16">
        <f t="shared" si="7"/>
        <v>67200</v>
      </c>
      <c r="G10" s="16">
        <f t="shared" si="7"/>
        <v>84000</v>
      </c>
      <c r="H10" s="16">
        <f t="shared" si="7"/>
        <v>84000</v>
      </c>
      <c r="I10" s="16">
        <f t="shared" si="7"/>
        <v>84000</v>
      </c>
      <c r="J10" s="16">
        <f t="shared" si="7"/>
        <v>84000</v>
      </c>
      <c r="K10" s="16">
        <f t="shared" si="7"/>
        <v>100800</v>
      </c>
      <c r="L10" s="16">
        <f t="shared" si="7"/>
        <v>84000</v>
      </c>
      <c r="M10" s="16">
        <f t="shared" si="7"/>
        <v>50400</v>
      </c>
      <c r="N10" s="16">
        <f t="shared" si="1"/>
        <v>840000</v>
      </c>
      <c r="O10" s="2">
        <v>800000</v>
      </c>
      <c r="P10" s="6">
        <v>5</v>
      </c>
      <c r="Q10" s="7">
        <f t="shared" si="3"/>
        <v>8.4278117788702716</v>
      </c>
      <c r="R10" s="7">
        <f t="shared" si="4"/>
        <v>9.0191657271702361</v>
      </c>
    </row>
    <row r="11" spans="1:18" x14ac:dyDescent="0.2">
      <c r="A11" s="1" t="s">
        <v>24</v>
      </c>
      <c r="B11" s="16">
        <f>$O11*(1+($P11/100))*(B43/100)</f>
        <v>46800</v>
      </c>
      <c r="C11" s="16">
        <f t="shared" ref="C11:M11" si="8">$O11*(1+($P11/100))*(C43/100)</f>
        <v>46800</v>
      </c>
      <c r="D11" s="16">
        <f t="shared" si="8"/>
        <v>46800</v>
      </c>
      <c r="E11" s="16">
        <f t="shared" si="8"/>
        <v>46800</v>
      </c>
      <c r="F11" s="16">
        <f t="shared" si="8"/>
        <v>62400</v>
      </c>
      <c r="G11" s="16">
        <f t="shared" si="8"/>
        <v>78000</v>
      </c>
      <c r="H11" s="16">
        <f t="shared" si="8"/>
        <v>78000</v>
      </c>
      <c r="I11" s="16">
        <f t="shared" si="8"/>
        <v>78000</v>
      </c>
      <c r="J11" s="16">
        <f t="shared" si="8"/>
        <v>78000</v>
      </c>
      <c r="K11" s="16">
        <f t="shared" si="8"/>
        <v>93600</v>
      </c>
      <c r="L11" s="16">
        <f t="shared" si="8"/>
        <v>78000</v>
      </c>
      <c r="M11" s="16">
        <f t="shared" si="8"/>
        <v>46800</v>
      </c>
      <c r="N11" s="16">
        <f t="shared" si="1"/>
        <v>780000</v>
      </c>
      <c r="O11" s="2">
        <v>780000</v>
      </c>
      <c r="P11" s="6">
        <v>0</v>
      </c>
      <c r="Q11" s="7">
        <f t="shared" si="3"/>
        <v>7.8258252232366807</v>
      </c>
      <c r="R11" s="7">
        <f t="shared" si="4"/>
        <v>8.793686583990981</v>
      </c>
    </row>
    <row r="12" spans="1:18" x14ac:dyDescent="0.2">
      <c r="A12" s="1" t="s">
        <v>25</v>
      </c>
      <c r="B12" s="16">
        <f>$O12*(1+($P12/100))*(B43/100)</f>
        <v>25380</v>
      </c>
      <c r="C12" s="16">
        <f t="shared" ref="C12:M12" si="9">$O12*(1+($P12/100))*(C43/100)</f>
        <v>25380</v>
      </c>
      <c r="D12" s="16">
        <f t="shared" si="9"/>
        <v>25380</v>
      </c>
      <c r="E12" s="16">
        <f t="shared" si="9"/>
        <v>25380</v>
      </c>
      <c r="F12" s="16">
        <f t="shared" si="9"/>
        <v>33840</v>
      </c>
      <c r="G12" s="16">
        <f t="shared" si="9"/>
        <v>42300</v>
      </c>
      <c r="H12" s="16">
        <f t="shared" si="9"/>
        <v>42300</v>
      </c>
      <c r="I12" s="16">
        <f t="shared" si="9"/>
        <v>42300</v>
      </c>
      <c r="J12" s="16">
        <f t="shared" si="9"/>
        <v>42300</v>
      </c>
      <c r="K12" s="16">
        <f t="shared" si="9"/>
        <v>50760</v>
      </c>
      <c r="L12" s="16">
        <f t="shared" si="9"/>
        <v>42300</v>
      </c>
      <c r="M12" s="16">
        <f t="shared" si="9"/>
        <v>25380</v>
      </c>
      <c r="N12" s="16">
        <f t="shared" si="1"/>
        <v>423000</v>
      </c>
      <c r="O12" s="2">
        <v>450000</v>
      </c>
      <c r="P12" s="6">
        <v>-6</v>
      </c>
      <c r="Q12" s="7">
        <f t="shared" si="3"/>
        <v>4.2440052172168157</v>
      </c>
      <c r="R12" s="7">
        <f t="shared" si="4"/>
        <v>5.0732807215332585</v>
      </c>
    </row>
    <row r="13" spans="1:18" x14ac:dyDescent="0.2">
      <c r="A13" s="1" t="s">
        <v>26</v>
      </c>
      <c r="B13" s="16">
        <f>$O13*(1+($P13/100))*(B43/100)</f>
        <v>26400.000000000004</v>
      </c>
      <c r="C13" s="16">
        <f t="shared" ref="C13:M13" si="10">$O13*(1+($P13/100))*(C43/100)</f>
        <v>26400.000000000004</v>
      </c>
      <c r="D13" s="16">
        <f t="shared" si="10"/>
        <v>26400.000000000004</v>
      </c>
      <c r="E13" s="16">
        <f t="shared" si="10"/>
        <v>26400.000000000004</v>
      </c>
      <c r="F13" s="16">
        <f t="shared" si="10"/>
        <v>35200.000000000007</v>
      </c>
      <c r="G13" s="16">
        <f t="shared" si="10"/>
        <v>44000.000000000007</v>
      </c>
      <c r="H13" s="16">
        <f t="shared" si="10"/>
        <v>44000.000000000007</v>
      </c>
      <c r="I13" s="16">
        <f t="shared" si="10"/>
        <v>44000.000000000007</v>
      </c>
      <c r="J13" s="16">
        <f t="shared" si="10"/>
        <v>44000.000000000007</v>
      </c>
      <c r="K13" s="16">
        <f t="shared" si="10"/>
        <v>52800.000000000007</v>
      </c>
      <c r="L13" s="16">
        <f t="shared" si="10"/>
        <v>44000.000000000007</v>
      </c>
      <c r="M13" s="16">
        <f t="shared" si="10"/>
        <v>26400.000000000004</v>
      </c>
      <c r="N13" s="16">
        <f t="shared" si="1"/>
        <v>440000.00000000006</v>
      </c>
      <c r="O13" s="2">
        <v>400000</v>
      </c>
      <c r="P13" s="6">
        <v>10</v>
      </c>
      <c r="Q13" s="7">
        <f t="shared" si="3"/>
        <v>4.4145680746463336</v>
      </c>
      <c r="R13" s="7">
        <f t="shared" si="4"/>
        <v>4.5095828635851181</v>
      </c>
    </row>
    <row r="14" spans="1:18" x14ac:dyDescent="0.2">
      <c r="A14" s="1" t="s">
        <v>27</v>
      </c>
      <c r="B14" s="16">
        <f>$O14*(1+($P14/100))*(B43/100)</f>
        <v>20808</v>
      </c>
      <c r="C14" s="16">
        <f t="shared" ref="C14:M14" si="11">$O14*(1+($P14/100))*(C43/100)</f>
        <v>20808</v>
      </c>
      <c r="D14" s="16">
        <f t="shared" si="11"/>
        <v>20808</v>
      </c>
      <c r="E14" s="16">
        <f t="shared" si="11"/>
        <v>20808</v>
      </c>
      <c r="F14" s="16">
        <f t="shared" si="11"/>
        <v>27744</v>
      </c>
      <c r="G14" s="16">
        <f t="shared" si="11"/>
        <v>34680</v>
      </c>
      <c r="H14" s="16">
        <f t="shared" si="11"/>
        <v>34680</v>
      </c>
      <c r="I14" s="16">
        <f t="shared" si="11"/>
        <v>34680</v>
      </c>
      <c r="J14" s="16">
        <f t="shared" si="11"/>
        <v>34680</v>
      </c>
      <c r="K14" s="16">
        <f t="shared" si="11"/>
        <v>41616</v>
      </c>
      <c r="L14" s="16">
        <f t="shared" si="11"/>
        <v>34680</v>
      </c>
      <c r="M14" s="16">
        <f t="shared" si="11"/>
        <v>20808</v>
      </c>
      <c r="N14" s="16">
        <f t="shared" si="1"/>
        <v>346800</v>
      </c>
      <c r="O14" s="2">
        <v>340000</v>
      </c>
      <c r="P14" s="6">
        <v>2</v>
      </c>
      <c r="Q14" s="7">
        <f t="shared" si="3"/>
        <v>3.4794822915621553</v>
      </c>
      <c r="R14" s="7">
        <f t="shared" si="4"/>
        <v>3.8331454340473505</v>
      </c>
    </row>
    <row r="15" spans="1:18" x14ac:dyDescent="0.2">
      <c r="A15" s="1" t="s">
        <v>28</v>
      </c>
      <c r="B15" s="16">
        <f>$O15*(1+($P15/100))*(B43/100)</f>
        <v>19392</v>
      </c>
      <c r="C15" s="16">
        <f t="shared" ref="C15:M15" si="12">$O15*(1+($P15/100))*(C43/100)</f>
        <v>19392</v>
      </c>
      <c r="D15" s="16">
        <f t="shared" si="12"/>
        <v>19392</v>
      </c>
      <c r="E15" s="16">
        <f t="shared" si="12"/>
        <v>19392</v>
      </c>
      <c r="F15" s="16">
        <f t="shared" si="12"/>
        <v>25856</v>
      </c>
      <c r="G15" s="16">
        <f t="shared" si="12"/>
        <v>32320</v>
      </c>
      <c r="H15" s="16">
        <f t="shared" si="12"/>
        <v>32320</v>
      </c>
      <c r="I15" s="16">
        <f t="shared" si="12"/>
        <v>32320</v>
      </c>
      <c r="J15" s="16">
        <f t="shared" si="12"/>
        <v>32320</v>
      </c>
      <c r="K15" s="16">
        <f t="shared" si="12"/>
        <v>38784</v>
      </c>
      <c r="L15" s="16">
        <f t="shared" si="12"/>
        <v>32320</v>
      </c>
      <c r="M15" s="16">
        <f t="shared" si="12"/>
        <v>19392</v>
      </c>
      <c r="N15" s="16">
        <f>$O$15*(1+($P$15/100))*(N43/100)</f>
        <v>323200</v>
      </c>
      <c r="O15" s="2">
        <v>320000</v>
      </c>
      <c r="P15" s="6">
        <v>1</v>
      </c>
      <c r="Q15" s="7">
        <f t="shared" si="3"/>
        <v>3.2427009130129427</v>
      </c>
      <c r="R15" s="7">
        <f t="shared" si="4"/>
        <v>3.6076662908680945</v>
      </c>
    </row>
    <row r="16" spans="1:18" x14ac:dyDescent="0.2">
      <c r="A16" s="1" t="s">
        <v>29</v>
      </c>
      <c r="B16" s="16">
        <f>$O16*(1+($P16/100))*(B43/100)</f>
        <v>4800</v>
      </c>
      <c r="C16" s="16">
        <f t="shared" ref="C16:M16" si="13">$O16*(1+($P16/100))*(C43/100)</f>
        <v>4800</v>
      </c>
      <c r="D16" s="16">
        <f t="shared" si="13"/>
        <v>4800</v>
      </c>
      <c r="E16" s="16">
        <f t="shared" si="13"/>
        <v>4800</v>
      </c>
      <c r="F16" s="16">
        <f t="shared" si="13"/>
        <v>6400</v>
      </c>
      <c r="G16" s="16">
        <f t="shared" si="13"/>
        <v>8000</v>
      </c>
      <c r="H16" s="16">
        <f t="shared" si="13"/>
        <v>8000</v>
      </c>
      <c r="I16" s="16">
        <f t="shared" si="13"/>
        <v>8000</v>
      </c>
      <c r="J16" s="16">
        <f t="shared" si="13"/>
        <v>8000</v>
      </c>
      <c r="K16" s="16">
        <f t="shared" si="13"/>
        <v>9600</v>
      </c>
      <c r="L16" s="16">
        <f t="shared" si="13"/>
        <v>8000</v>
      </c>
      <c r="M16" s="16">
        <f t="shared" si="13"/>
        <v>4800</v>
      </c>
      <c r="N16" s="16">
        <f>SUM(B16:M16)</f>
        <v>80000</v>
      </c>
      <c r="O16" s="2">
        <v>80000</v>
      </c>
      <c r="P16" s="6">
        <v>0</v>
      </c>
      <c r="Q16" s="7">
        <f t="shared" si="3"/>
        <v>0.80264874084478788</v>
      </c>
      <c r="R16" s="7">
        <f t="shared" si="4"/>
        <v>0.90191657271702363</v>
      </c>
    </row>
    <row r="17" spans="1:18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R17" s="8"/>
    </row>
    <row r="18" spans="1:18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R18" s="8"/>
    </row>
    <row r="19" spans="1:18" x14ac:dyDescent="0.2">
      <c r="A19" s="1" t="s">
        <v>30</v>
      </c>
      <c r="B19" s="16">
        <f>SUM(B20:B29)</f>
        <v>115525.20000000001</v>
      </c>
      <c r="C19" s="16">
        <f>SUM(C20:C29)</f>
        <v>115525.20000000001</v>
      </c>
      <c r="D19" s="16">
        <f>SUM(D20:D29)</f>
        <v>115525.20000000001</v>
      </c>
      <c r="E19" s="16">
        <f>SUM(E20:E29)</f>
        <v>115525.20000000001</v>
      </c>
      <c r="F19" s="16">
        <f>SUM(F20:F29)</f>
        <v>154033.59999999998</v>
      </c>
      <c r="G19" s="16">
        <f t="shared" ref="G19:M19" si="14">SUM(G20:G29)</f>
        <v>192542</v>
      </c>
      <c r="H19" s="16">
        <f t="shared" si="14"/>
        <v>192542</v>
      </c>
      <c r="I19" s="16">
        <f t="shared" si="14"/>
        <v>192542</v>
      </c>
      <c r="J19" s="16">
        <f t="shared" si="14"/>
        <v>192542</v>
      </c>
      <c r="K19" s="16">
        <f t="shared" si="14"/>
        <v>231050.40000000002</v>
      </c>
      <c r="L19" s="16">
        <f t="shared" si="14"/>
        <v>192542</v>
      </c>
      <c r="M19" s="16">
        <f t="shared" si="14"/>
        <v>115525.20000000001</v>
      </c>
      <c r="N19" s="16">
        <f>SUM(N20:N29)</f>
        <v>1925420</v>
      </c>
    </row>
    <row r="20" spans="1:18" x14ac:dyDescent="0.2">
      <c r="A20" s="1" t="s">
        <v>20</v>
      </c>
      <c r="B20" s="16">
        <f t="shared" ref="B20:E29" si="15">B7*$B32/100</f>
        <v>25740</v>
      </c>
      <c r="C20" s="16">
        <f t="shared" si="15"/>
        <v>25740</v>
      </c>
      <c r="D20" s="16">
        <f t="shared" si="15"/>
        <v>25740</v>
      </c>
      <c r="E20" s="16">
        <f t="shared" si="15"/>
        <v>25740</v>
      </c>
      <c r="F20" s="16">
        <f t="shared" ref="F20:M29" si="16">F7*$B32/100</f>
        <v>34320</v>
      </c>
      <c r="G20" s="16">
        <f t="shared" si="16"/>
        <v>42900</v>
      </c>
      <c r="H20" s="16">
        <f t="shared" si="16"/>
        <v>42900</v>
      </c>
      <c r="I20" s="16">
        <f t="shared" si="16"/>
        <v>42900</v>
      </c>
      <c r="J20" s="16">
        <f t="shared" si="16"/>
        <v>42900</v>
      </c>
      <c r="K20" s="16">
        <f t="shared" si="16"/>
        <v>51480</v>
      </c>
      <c r="L20" s="16">
        <f t="shared" si="16"/>
        <v>42900</v>
      </c>
      <c r="M20" s="16">
        <f t="shared" si="16"/>
        <v>25740</v>
      </c>
      <c r="N20" s="16">
        <f t="shared" ref="N20:N29" si="17">SUM(B20:M20)</f>
        <v>429000</v>
      </c>
    </row>
    <row r="21" spans="1:18" x14ac:dyDescent="0.2">
      <c r="A21" s="1" t="s">
        <v>21</v>
      </c>
      <c r="B21" s="16">
        <f t="shared" si="15"/>
        <v>16128.000000000002</v>
      </c>
      <c r="C21" s="16">
        <f t="shared" si="15"/>
        <v>16128.000000000002</v>
      </c>
      <c r="D21" s="16">
        <f t="shared" si="15"/>
        <v>16128.000000000002</v>
      </c>
      <c r="E21" s="16">
        <f t="shared" si="15"/>
        <v>16128.000000000002</v>
      </c>
      <c r="F21" s="16">
        <f t="shared" si="16"/>
        <v>21504.000000000004</v>
      </c>
      <c r="G21" s="16">
        <f t="shared" si="16"/>
        <v>26880.000000000004</v>
      </c>
      <c r="H21" s="16">
        <f t="shared" si="16"/>
        <v>26880.000000000004</v>
      </c>
      <c r="I21" s="16">
        <f t="shared" si="16"/>
        <v>26880.000000000004</v>
      </c>
      <c r="J21" s="16">
        <f t="shared" si="16"/>
        <v>26880.000000000004</v>
      </c>
      <c r="K21" s="16">
        <f t="shared" si="16"/>
        <v>32256.000000000004</v>
      </c>
      <c r="L21" s="16">
        <f t="shared" si="16"/>
        <v>26880.000000000004</v>
      </c>
      <c r="M21" s="16">
        <f t="shared" si="16"/>
        <v>16128.000000000002</v>
      </c>
      <c r="N21" s="16">
        <f t="shared" si="17"/>
        <v>268800.00000000006</v>
      </c>
    </row>
    <row r="22" spans="1:18" x14ac:dyDescent="0.2">
      <c r="A22" s="1" t="s">
        <v>22</v>
      </c>
      <c r="B22" s="16">
        <f t="shared" si="15"/>
        <v>37950</v>
      </c>
      <c r="C22" s="16">
        <f t="shared" si="15"/>
        <v>37950</v>
      </c>
      <c r="D22" s="16">
        <f t="shared" si="15"/>
        <v>37950</v>
      </c>
      <c r="E22" s="16">
        <f t="shared" si="15"/>
        <v>37950</v>
      </c>
      <c r="F22" s="16">
        <f t="shared" si="16"/>
        <v>50600</v>
      </c>
      <c r="G22" s="16">
        <f t="shared" si="16"/>
        <v>63250</v>
      </c>
      <c r="H22" s="16">
        <f t="shared" si="16"/>
        <v>63250</v>
      </c>
      <c r="I22" s="16">
        <f t="shared" si="16"/>
        <v>63250</v>
      </c>
      <c r="J22" s="16">
        <f t="shared" si="16"/>
        <v>63250</v>
      </c>
      <c r="K22" s="16">
        <f t="shared" si="16"/>
        <v>75900</v>
      </c>
      <c r="L22" s="16">
        <f t="shared" si="16"/>
        <v>63250</v>
      </c>
      <c r="M22" s="16">
        <f t="shared" si="16"/>
        <v>37950</v>
      </c>
      <c r="N22" s="16">
        <f t="shared" si="17"/>
        <v>632500</v>
      </c>
    </row>
    <row r="23" spans="1:18" x14ac:dyDescent="0.2">
      <c r="A23" s="1" t="s">
        <v>23</v>
      </c>
      <c r="B23" s="16">
        <f t="shared" si="15"/>
        <v>7560</v>
      </c>
      <c r="C23" s="16">
        <f t="shared" si="15"/>
        <v>7560</v>
      </c>
      <c r="D23" s="16">
        <f t="shared" si="15"/>
        <v>7560</v>
      </c>
      <c r="E23" s="16">
        <f t="shared" si="15"/>
        <v>7560</v>
      </c>
      <c r="F23" s="16">
        <f t="shared" si="16"/>
        <v>10080</v>
      </c>
      <c r="G23" s="16">
        <f t="shared" si="16"/>
        <v>12600</v>
      </c>
      <c r="H23" s="16">
        <f t="shared" si="16"/>
        <v>12600</v>
      </c>
      <c r="I23" s="16">
        <f t="shared" si="16"/>
        <v>12600</v>
      </c>
      <c r="J23" s="16">
        <f t="shared" si="16"/>
        <v>12600</v>
      </c>
      <c r="K23" s="16">
        <f t="shared" si="16"/>
        <v>15120</v>
      </c>
      <c r="L23" s="16">
        <f t="shared" si="16"/>
        <v>12600</v>
      </c>
      <c r="M23" s="16">
        <f t="shared" si="16"/>
        <v>7560</v>
      </c>
      <c r="N23" s="16">
        <f t="shared" si="17"/>
        <v>126000</v>
      </c>
    </row>
    <row r="24" spans="1:18" x14ac:dyDescent="0.2">
      <c r="A24" s="1" t="s">
        <v>24</v>
      </c>
      <c r="B24" s="16">
        <f t="shared" si="15"/>
        <v>9360</v>
      </c>
      <c r="C24" s="16">
        <f t="shared" si="15"/>
        <v>9360</v>
      </c>
      <c r="D24" s="16">
        <f t="shared" si="15"/>
        <v>9360</v>
      </c>
      <c r="E24" s="16">
        <f t="shared" si="15"/>
        <v>9360</v>
      </c>
      <c r="F24" s="16">
        <f t="shared" si="16"/>
        <v>12480</v>
      </c>
      <c r="G24" s="16">
        <f t="shared" si="16"/>
        <v>15600</v>
      </c>
      <c r="H24" s="16">
        <f t="shared" si="16"/>
        <v>15600</v>
      </c>
      <c r="I24" s="16">
        <f t="shared" si="16"/>
        <v>15600</v>
      </c>
      <c r="J24" s="16">
        <f t="shared" si="16"/>
        <v>15600</v>
      </c>
      <c r="K24" s="16">
        <f t="shared" si="16"/>
        <v>18720</v>
      </c>
      <c r="L24" s="16">
        <f t="shared" si="16"/>
        <v>15600</v>
      </c>
      <c r="M24" s="16">
        <f t="shared" si="16"/>
        <v>9360</v>
      </c>
      <c r="N24" s="16">
        <f t="shared" si="17"/>
        <v>156000</v>
      </c>
    </row>
    <row r="25" spans="1:18" x14ac:dyDescent="0.2">
      <c r="A25" s="1" t="s">
        <v>25</v>
      </c>
      <c r="B25" s="16">
        <f t="shared" si="15"/>
        <v>5583.6</v>
      </c>
      <c r="C25" s="16">
        <f t="shared" si="15"/>
        <v>5583.6</v>
      </c>
      <c r="D25" s="16">
        <f t="shared" si="15"/>
        <v>5583.6</v>
      </c>
      <c r="E25" s="16">
        <f t="shared" si="15"/>
        <v>5583.6</v>
      </c>
      <c r="F25" s="16">
        <f t="shared" si="16"/>
        <v>7444.8</v>
      </c>
      <c r="G25" s="16">
        <f t="shared" si="16"/>
        <v>9306</v>
      </c>
      <c r="H25" s="16">
        <f t="shared" si="16"/>
        <v>9306</v>
      </c>
      <c r="I25" s="16">
        <f t="shared" si="16"/>
        <v>9306</v>
      </c>
      <c r="J25" s="16">
        <f t="shared" si="16"/>
        <v>9306</v>
      </c>
      <c r="K25" s="16">
        <f t="shared" si="16"/>
        <v>11167.2</v>
      </c>
      <c r="L25" s="16">
        <f t="shared" si="16"/>
        <v>9306</v>
      </c>
      <c r="M25" s="16">
        <f t="shared" si="16"/>
        <v>5583.6</v>
      </c>
      <c r="N25" s="16">
        <f t="shared" si="17"/>
        <v>93060</v>
      </c>
    </row>
    <row r="26" spans="1:18" x14ac:dyDescent="0.2">
      <c r="A26" s="1" t="s">
        <v>26</v>
      </c>
      <c r="B26" s="16">
        <f t="shared" si="15"/>
        <v>6072.0000000000009</v>
      </c>
      <c r="C26" s="16">
        <f t="shared" si="15"/>
        <v>6072.0000000000009</v>
      </c>
      <c r="D26" s="16">
        <f t="shared" si="15"/>
        <v>6072.0000000000009</v>
      </c>
      <c r="E26" s="16">
        <f t="shared" si="15"/>
        <v>6072.0000000000009</v>
      </c>
      <c r="F26" s="16">
        <f t="shared" si="16"/>
        <v>8096.0000000000009</v>
      </c>
      <c r="G26" s="16">
        <f t="shared" si="16"/>
        <v>10120.000000000002</v>
      </c>
      <c r="H26" s="16">
        <f t="shared" si="16"/>
        <v>10120.000000000002</v>
      </c>
      <c r="I26" s="16">
        <f t="shared" si="16"/>
        <v>10120.000000000002</v>
      </c>
      <c r="J26" s="16">
        <f t="shared" si="16"/>
        <v>10120.000000000002</v>
      </c>
      <c r="K26" s="16">
        <f t="shared" si="16"/>
        <v>12144.000000000002</v>
      </c>
      <c r="L26" s="16">
        <f t="shared" si="16"/>
        <v>10120.000000000002</v>
      </c>
      <c r="M26" s="16">
        <f t="shared" si="16"/>
        <v>6072.0000000000009</v>
      </c>
      <c r="N26" s="16">
        <f t="shared" si="17"/>
        <v>101200.00000000001</v>
      </c>
    </row>
    <row r="27" spans="1:18" x14ac:dyDescent="0.2">
      <c r="A27" s="1" t="s">
        <v>27</v>
      </c>
      <c r="B27" s="16">
        <f t="shared" si="15"/>
        <v>5202</v>
      </c>
      <c r="C27" s="16">
        <f t="shared" si="15"/>
        <v>5202</v>
      </c>
      <c r="D27" s="16">
        <f t="shared" si="15"/>
        <v>5202</v>
      </c>
      <c r="E27" s="16">
        <f t="shared" si="15"/>
        <v>5202</v>
      </c>
      <c r="F27" s="16">
        <f t="shared" si="16"/>
        <v>6936</v>
      </c>
      <c r="G27" s="16">
        <f t="shared" si="16"/>
        <v>8670</v>
      </c>
      <c r="H27" s="16">
        <f t="shared" si="16"/>
        <v>8670</v>
      </c>
      <c r="I27" s="16">
        <f t="shared" si="16"/>
        <v>8670</v>
      </c>
      <c r="J27" s="16">
        <f t="shared" si="16"/>
        <v>8670</v>
      </c>
      <c r="K27" s="16">
        <f t="shared" si="16"/>
        <v>10404</v>
      </c>
      <c r="L27" s="16">
        <f t="shared" si="16"/>
        <v>8670</v>
      </c>
      <c r="M27" s="16">
        <f t="shared" si="16"/>
        <v>5202</v>
      </c>
      <c r="N27" s="16">
        <f t="shared" si="17"/>
        <v>86700</v>
      </c>
    </row>
    <row r="28" spans="1:18" x14ac:dyDescent="0.2">
      <c r="A28" s="1" t="s">
        <v>28</v>
      </c>
      <c r="B28" s="16">
        <f t="shared" si="15"/>
        <v>969.6</v>
      </c>
      <c r="C28" s="16">
        <f t="shared" si="15"/>
        <v>969.6</v>
      </c>
      <c r="D28" s="16">
        <f t="shared" si="15"/>
        <v>969.6</v>
      </c>
      <c r="E28" s="16">
        <f t="shared" si="15"/>
        <v>969.6</v>
      </c>
      <c r="F28" s="16">
        <f t="shared" si="16"/>
        <v>1292.8</v>
      </c>
      <c r="G28" s="16">
        <f t="shared" si="16"/>
        <v>1616</v>
      </c>
      <c r="H28" s="16">
        <f t="shared" si="16"/>
        <v>1616</v>
      </c>
      <c r="I28" s="16">
        <f t="shared" si="16"/>
        <v>1616</v>
      </c>
      <c r="J28" s="16">
        <f t="shared" si="16"/>
        <v>1616</v>
      </c>
      <c r="K28" s="16">
        <f t="shared" si="16"/>
        <v>1939.2</v>
      </c>
      <c r="L28" s="16">
        <f t="shared" si="16"/>
        <v>1616</v>
      </c>
      <c r="M28" s="16">
        <f t="shared" si="16"/>
        <v>969.6</v>
      </c>
      <c r="N28" s="16">
        <f t="shared" si="17"/>
        <v>16160.000000000002</v>
      </c>
    </row>
    <row r="29" spans="1:18" x14ac:dyDescent="0.2">
      <c r="A29" s="1" t="s">
        <v>29</v>
      </c>
      <c r="B29" s="16">
        <f t="shared" si="15"/>
        <v>960</v>
      </c>
      <c r="C29" s="16">
        <f t="shared" si="15"/>
        <v>960</v>
      </c>
      <c r="D29" s="16">
        <f t="shared" si="15"/>
        <v>960</v>
      </c>
      <c r="E29" s="16">
        <f t="shared" si="15"/>
        <v>960</v>
      </c>
      <c r="F29" s="16">
        <f t="shared" si="16"/>
        <v>1280</v>
      </c>
      <c r="G29" s="16">
        <f t="shared" si="16"/>
        <v>1600</v>
      </c>
      <c r="H29" s="16">
        <f t="shared" si="16"/>
        <v>1600</v>
      </c>
      <c r="I29" s="16">
        <f t="shared" si="16"/>
        <v>1600</v>
      </c>
      <c r="J29" s="16">
        <f t="shared" si="16"/>
        <v>1600</v>
      </c>
      <c r="K29" s="16">
        <f t="shared" si="16"/>
        <v>1920</v>
      </c>
      <c r="L29" s="16">
        <f t="shared" si="16"/>
        <v>1600</v>
      </c>
      <c r="M29" s="16">
        <f t="shared" si="16"/>
        <v>960</v>
      </c>
      <c r="N29" s="16">
        <f t="shared" si="17"/>
        <v>16000</v>
      </c>
    </row>
    <row r="30" spans="1:18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8" x14ac:dyDescent="0.2">
      <c r="A31" s="1" t="s">
        <v>31</v>
      </c>
      <c r="B31" s="16">
        <f>((B32*N7)+(N8*B33)+(N9*B34)+(N10*B35)+(N11*B36)+(N12*B37)+(N13*B38)+(N14*B39)+(N15*B40)+(N16*B41))/N6</f>
        <v>19.317949232467143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8" x14ac:dyDescent="0.2">
      <c r="A32" s="1" t="s">
        <v>20</v>
      </c>
      <c r="B32" s="2">
        <v>15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4" x14ac:dyDescent="0.2">
      <c r="A33" s="1" t="s">
        <v>21</v>
      </c>
      <c r="B33" s="2">
        <v>20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x14ac:dyDescent="0.2">
      <c r="A34" s="1" t="s">
        <v>22</v>
      </c>
      <c r="B34" s="2">
        <v>25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4" x14ac:dyDescent="0.2">
      <c r="A35" s="1" t="s">
        <v>23</v>
      </c>
      <c r="B35" s="2">
        <v>15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4" x14ac:dyDescent="0.2">
      <c r="A36" s="1" t="s">
        <v>24</v>
      </c>
      <c r="B36" s="2">
        <v>20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4" x14ac:dyDescent="0.2">
      <c r="A37" s="1" t="s">
        <v>25</v>
      </c>
      <c r="B37" s="2">
        <v>22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4" x14ac:dyDescent="0.2">
      <c r="A38" s="1" t="s">
        <v>26</v>
      </c>
      <c r="B38" s="2">
        <v>23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4" x14ac:dyDescent="0.2">
      <c r="A39" s="1" t="s">
        <v>27</v>
      </c>
      <c r="B39" s="2">
        <v>25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4" x14ac:dyDescent="0.2">
      <c r="A40" s="1" t="s">
        <v>28</v>
      </c>
      <c r="B40" s="2">
        <v>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4" x14ac:dyDescent="0.2">
      <c r="A41" s="1" t="s">
        <v>29</v>
      </c>
      <c r="B41" s="2">
        <v>20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4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4" x14ac:dyDescent="0.2">
      <c r="A43" s="1" t="s">
        <v>32</v>
      </c>
      <c r="B43" s="2">
        <v>6</v>
      </c>
      <c r="C43" s="2">
        <v>6</v>
      </c>
      <c r="D43" s="2">
        <v>6</v>
      </c>
      <c r="E43" s="2">
        <v>6</v>
      </c>
      <c r="F43" s="2">
        <v>8</v>
      </c>
      <c r="G43" s="2">
        <v>10</v>
      </c>
      <c r="H43" s="2">
        <v>10</v>
      </c>
      <c r="I43" s="2">
        <v>10</v>
      </c>
      <c r="J43" s="2">
        <v>10</v>
      </c>
      <c r="K43" s="2">
        <v>12</v>
      </c>
      <c r="L43" s="2">
        <v>10</v>
      </c>
      <c r="M43" s="2">
        <v>6</v>
      </c>
      <c r="N43" s="2">
        <f>SUM(B43:M43)</f>
        <v>100</v>
      </c>
    </row>
    <row r="44" spans="1:14" x14ac:dyDescent="0.2">
      <c r="A44" s="2"/>
    </row>
    <row r="50" spans="1:1" x14ac:dyDescent="0.2">
      <c r="A50" s="2"/>
    </row>
  </sheetData>
  <pageMargins left="0" right="0" top="0.39370078740157483" bottom="0.19685039370078741" header="0.11811023622047245" footer="0.11811023622047245"/>
  <pageSetup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Q23" sqref="Q23"/>
    </sheetView>
  </sheetViews>
  <sheetFormatPr defaultColWidth="11.42578125" defaultRowHeight="12.75" x14ac:dyDescent="0.2"/>
  <cols>
    <col min="1" max="1" width="16.5703125" style="1" customWidth="1"/>
    <col min="2" max="13" width="7.5703125" style="3" customWidth="1"/>
    <col min="14" max="14" width="10.85546875" style="2" customWidth="1"/>
    <col min="15" max="15" width="10.5703125" style="2" customWidth="1"/>
    <col min="16" max="16" width="9.28515625" style="1" customWidth="1"/>
    <col min="17" max="16384" width="11.42578125" style="5"/>
  </cols>
  <sheetData>
    <row r="1" spans="1:18" x14ac:dyDescent="0.2">
      <c r="B1" s="3" t="s">
        <v>33</v>
      </c>
      <c r="Q1" s="4"/>
      <c r="R1" s="1"/>
    </row>
    <row r="3" spans="1:18" x14ac:dyDescent="0.2">
      <c r="N3" s="2" t="s">
        <v>1</v>
      </c>
      <c r="O3" s="2" t="s">
        <v>1</v>
      </c>
      <c r="P3" s="1" t="s">
        <v>2</v>
      </c>
    </row>
    <row r="4" spans="1:18" x14ac:dyDescent="0.2"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1" t="s">
        <v>18</v>
      </c>
    </row>
    <row r="5" spans="1:18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">
      <c r="A6" s="1" t="s">
        <v>34</v>
      </c>
      <c r="B6" s="16">
        <f>SUM(B7:B15)</f>
        <v>391380</v>
      </c>
      <c r="C6" s="16">
        <f t="shared" ref="C6:M6" si="0">SUM(C7:C15)</f>
        <v>391380</v>
      </c>
      <c r="D6" s="16">
        <f t="shared" si="0"/>
        <v>391380</v>
      </c>
      <c r="E6" s="16">
        <f t="shared" si="0"/>
        <v>391380</v>
      </c>
      <c r="F6" s="16">
        <f t="shared" si="0"/>
        <v>521840</v>
      </c>
      <c r="G6" s="16">
        <f t="shared" si="0"/>
        <v>652300</v>
      </c>
      <c r="H6" s="16">
        <f t="shared" si="0"/>
        <v>652300</v>
      </c>
      <c r="I6" s="16">
        <f t="shared" si="0"/>
        <v>652300</v>
      </c>
      <c r="J6" s="16">
        <f t="shared" si="0"/>
        <v>652300</v>
      </c>
      <c r="K6" s="16">
        <f t="shared" si="0"/>
        <v>782760</v>
      </c>
      <c r="L6" s="16">
        <f t="shared" si="0"/>
        <v>652300</v>
      </c>
      <c r="M6" s="16">
        <f t="shared" si="0"/>
        <v>391380</v>
      </c>
      <c r="N6" s="16">
        <f>SUM(B6:M6)</f>
        <v>6523000</v>
      </c>
      <c r="O6" s="16">
        <f>SUM(O7:O14)</f>
        <v>5750000</v>
      </c>
      <c r="P6" s="15">
        <f>(N6/O6-1)*100</f>
        <v>13.443478260869558</v>
      </c>
    </row>
    <row r="7" spans="1:18" x14ac:dyDescent="0.2">
      <c r="A7" s="1" t="s">
        <v>20</v>
      </c>
      <c r="B7" s="16">
        <f t="shared" ref="B7:M7" si="1">$O7*(1+($P7/100))*(B42/100)</f>
        <v>144000</v>
      </c>
      <c r="C7" s="16">
        <f t="shared" si="1"/>
        <v>144000</v>
      </c>
      <c r="D7" s="16">
        <f t="shared" si="1"/>
        <v>144000</v>
      </c>
      <c r="E7" s="16">
        <f t="shared" si="1"/>
        <v>144000</v>
      </c>
      <c r="F7" s="16">
        <f t="shared" si="1"/>
        <v>192000</v>
      </c>
      <c r="G7" s="16">
        <f t="shared" si="1"/>
        <v>240000</v>
      </c>
      <c r="H7" s="16">
        <f t="shared" si="1"/>
        <v>240000</v>
      </c>
      <c r="I7" s="16">
        <f t="shared" si="1"/>
        <v>240000</v>
      </c>
      <c r="J7" s="16">
        <f t="shared" si="1"/>
        <v>240000</v>
      </c>
      <c r="K7" s="16">
        <f t="shared" si="1"/>
        <v>288000</v>
      </c>
      <c r="L7" s="16">
        <f t="shared" si="1"/>
        <v>240000</v>
      </c>
      <c r="M7" s="16">
        <f t="shared" si="1"/>
        <v>144000</v>
      </c>
      <c r="N7" s="16">
        <f>SUM(B7:M7)</f>
        <v>2400000</v>
      </c>
      <c r="O7" s="2">
        <v>2000000</v>
      </c>
      <c r="P7" s="6">
        <v>20</v>
      </c>
    </row>
    <row r="8" spans="1:18" x14ac:dyDescent="0.2">
      <c r="A8" s="1" t="s">
        <v>21</v>
      </c>
      <c r="B8" s="16">
        <f t="shared" ref="B8:M8" si="2">$O8*(1+($P8/100))*(B42/100)</f>
        <v>66000</v>
      </c>
      <c r="C8" s="16">
        <f t="shared" si="2"/>
        <v>66000</v>
      </c>
      <c r="D8" s="16">
        <f t="shared" si="2"/>
        <v>66000</v>
      </c>
      <c r="E8" s="16">
        <f t="shared" si="2"/>
        <v>66000</v>
      </c>
      <c r="F8" s="16">
        <f t="shared" si="2"/>
        <v>88000</v>
      </c>
      <c r="G8" s="16">
        <f t="shared" si="2"/>
        <v>110000</v>
      </c>
      <c r="H8" s="16">
        <f t="shared" si="2"/>
        <v>110000</v>
      </c>
      <c r="I8" s="16">
        <f t="shared" si="2"/>
        <v>110000</v>
      </c>
      <c r="J8" s="16">
        <f t="shared" si="2"/>
        <v>110000</v>
      </c>
      <c r="K8" s="16">
        <f t="shared" si="2"/>
        <v>132000</v>
      </c>
      <c r="L8" s="16">
        <f t="shared" si="2"/>
        <v>110000</v>
      </c>
      <c r="M8" s="16">
        <f t="shared" si="2"/>
        <v>66000</v>
      </c>
      <c r="N8" s="16">
        <f>SUM(B8:M8)</f>
        <v>1100000</v>
      </c>
      <c r="O8" s="2">
        <v>1000000</v>
      </c>
      <c r="P8" s="6">
        <v>10</v>
      </c>
    </row>
    <row r="9" spans="1:18" x14ac:dyDescent="0.2">
      <c r="A9" s="1" t="s">
        <v>22</v>
      </c>
      <c r="B9" s="16">
        <f t="shared" ref="B9:M9" si="3">$O9*(1+($P9/100))*(B42/100)</f>
        <v>48299.999999999993</v>
      </c>
      <c r="C9" s="16">
        <f t="shared" si="3"/>
        <v>48299.999999999993</v>
      </c>
      <c r="D9" s="16">
        <f t="shared" si="3"/>
        <v>48299.999999999993</v>
      </c>
      <c r="E9" s="16">
        <f t="shared" si="3"/>
        <v>48299.999999999993</v>
      </c>
      <c r="F9" s="16">
        <f t="shared" si="3"/>
        <v>64399.999999999993</v>
      </c>
      <c r="G9" s="16">
        <f t="shared" si="3"/>
        <v>80500</v>
      </c>
      <c r="H9" s="16">
        <f t="shared" si="3"/>
        <v>80500</v>
      </c>
      <c r="I9" s="16">
        <f t="shared" si="3"/>
        <v>80500</v>
      </c>
      <c r="J9" s="16">
        <f t="shared" si="3"/>
        <v>80500</v>
      </c>
      <c r="K9" s="16">
        <f t="shared" si="3"/>
        <v>96599.999999999985</v>
      </c>
      <c r="L9" s="16">
        <f t="shared" si="3"/>
        <v>80500</v>
      </c>
      <c r="M9" s="16">
        <f t="shared" si="3"/>
        <v>48299.999999999993</v>
      </c>
      <c r="N9" s="16">
        <f>SUM(B9:M9)</f>
        <v>805000</v>
      </c>
      <c r="O9" s="2">
        <v>700000</v>
      </c>
      <c r="P9" s="6">
        <v>15</v>
      </c>
    </row>
    <row r="10" spans="1:18" x14ac:dyDescent="0.2">
      <c r="A10" s="1" t="s">
        <v>23</v>
      </c>
      <c r="B10" s="16">
        <f t="shared" ref="B10:M10" si="4">$O10*(1+($P10/100))*(B42/100)</f>
        <v>43680.000000000007</v>
      </c>
      <c r="C10" s="16">
        <f t="shared" si="4"/>
        <v>43680.000000000007</v>
      </c>
      <c r="D10" s="16">
        <f t="shared" si="4"/>
        <v>43680.000000000007</v>
      </c>
      <c r="E10" s="16">
        <f t="shared" si="4"/>
        <v>43680.000000000007</v>
      </c>
      <c r="F10" s="16">
        <f t="shared" si="4"/>
        <v>58240.000000000007</v>
      </c>
      <c r="G10" s="16">
        <f t="shared" si="4"/>
        <v>72800.000000000015</v>
      </c>
      <c r="H10" s="16">
        <f t="shared" si="4"/>
        <v>72800.000000000015</v>
      </c>
      <c r="I10" s="16">
        <f t="shared" si="4"/>
        <v>72800.000000000015</v>
      </c>
      <c r="J10" s="16">
        <f t="shared" si="4"/>
        <v>72800.000000000015</v>
      </c>
      <c r="K10" s="16">
        <f t="shared" si="4"/>
        <v>87360.000000000015</v>
      </c>
      <c r="L10" s="16">
        <f t="shared" si="4"/>
        <v>72800.000000000015</v>
      </c>
      <c r="M10" s="16">
        <f t="shared" si="4"/>
        <v>43680.000000000007</v>
      </c>
      <c r="N10" s="16">
        <f>SUM(B10:M10)</f>
        <v>728000.00000000012</v>
      </c>
      <c r="O10" s="2">
        <v>650000</v>
      </c>
      <c r="P10" s="6">
        <v>12</v>
      </c>
    </row>
    <row r="11" spans="1:18" x14ac:dyDescent="0.2">
      <c r="A11" s="1" t="s">
        <v>24</v>
      </c>
      <c r="B11" s="16">
        <f>$O11*(1+($P11/100))*(B42/100)</f>
        <v>34650</v>
      </c>
      <c r="C11" s="16">
        <f t="shared" ref="C11:M11" si="5">$O11*(1+($P11/100))*(C42/100)</f>
        <v>34650</v>
      </c>
      <c r="D11" s="16">
        <f t="shared" si="5"/>
        <v>34650</v>
      </c>
      <c r="E11" s="16">
        <f t="shared" si="5"/>
        <v>34650</v>
      </c>
      <c r="F11" s="16">
        <f t="shared" si="5"/>
        <v>46200</v>
      </c>
      <c r="G11" s="16">
        <f t="shared" si="5"/>
        <v>57750</v>
      </c>
      <c r="H11" s="16">
        <f t="shared" si="5"/>
        <v>57750</v>
      </c>
      <c r="I11" s="16">
        <f t="shared" si="5"/>
        <v>57750</v>
      </c>
      <c r="J11" s="16">
        <f t="shared" si="5"/>
        <v>57750</v>
      </c>
      <c r="K11" s="16">
        <f t="shared" si="5"/>
        <v>69300</v>
      </c>
      <c r="L11" s="16">
        <f t="shared" si="5"/>
        <v>57750</v>
      </c>
      <c r="M11" s="16">
        <f t="shared" si="5"/>
        <v>34650</v>
      </c>
      <c r="N11" s="16">
        <f t="shared" ref="N11:N16" si="6">SUM(B11:M11)</f>
        <v>577500</v>
      </c>
      <c r="O11" s="2">
        <v>550000</v>
      </c>
      <c r="P11" s="6">
        <v>5</v>
      </c>
    </row>
    <row r="12" spans="1:18" x14ac:dyDescent="0.2">
      <c r="A12" s="1" t="s">
        <v>25</v>
      </c>
      <c r="B12" s="16">
        <f>$O12*(1+($P12/100))*(B42/100)</f>
        <v>28350</v>
      </c>
      <c r="C12" s="16">
        <f t="shared" ref="C12:M12" si="7">$O12*(1+($P12/100))*(C42/100)</f>
        <v>28350</v>
      </c>
      <c r="D12" s="16">
        <f t="shared" si="7"/>
        <v>28350</v>
      </c>
      <c r="E12" s="16">
        <f t="shared" si="7"/>
        <v>28350</v>
      </c>
      <c r="F12" s="16">
        <f t="shared" si="7"/>
        <v>37800</v>
      </c>
      <c r="G12" s="16">
        <f t="shared" si="7"/>
        <v>47250</v>
      </c>
      <c r="H12" s="16">
        <f t="shared" si="7"/>
        <v>47250</v>
      </c>
      <c r="I12" s="16">
        <f t="shared" si="7"/>
        <v>47250</v>
      </c>
      <c r="J12" s="16">
        <f t="shared" si="7"/>
        <v>47250</v>
      </c>
      <c r="K12" s="16">
        <f t="shared" si="7"/>
        <v>56700</v>
      </c>
      <c r="L12" s="16">
        <f t="shared" si="7"/>
        <v>47250</v>
      </c>
      <c r="M12" s="16">
        <f t="shared" si="7"/>
        <v>28350</v>
      </c>
      <c r="N12" s="16">
        <f t="shared" si="6"/>
        <v>472500</v>
      </c>
      <c r="O12" s="2">
        <v>450000</v>
      </c>
      <c r="P12" s="6">
        <v>5</v>
      </c>
    </row>
    <row r="13" spans="1:18" x14ac:dyDescent="0.2">
      <c r="A13" s="1" t="s">
        <v>26</v>
      </c>
      <c r="B13" s="16">
        <f>$O13*(1+($P13/100))*(B42/100)</f>
        <v>26400.000000000004</v>
      </c>
      <c r="C13" s="16">
        <f t="shared" ref="C13:M16" si="8">$O13*(1+($P13/100))*(C42/100)</f>
        <v>26400.000000000004</v>
      </c>
      <c r="D13" s="16">
        <f t="shared" si="8"/>
        <v>26400.000000000004</v>
      </c>
      <c r="E13" s="16">
        <f t="shared" si="8"/>
        <v>26400.000000000004</v>
      </c>
      <c r="F13" s="16">
        <f t="shared" si="8"/>
        <v>35200.000000000007</v>
      </c>
      <c r="G13" s="16">
        <f t="shared" si="8"/>
        <v>44000.000000000007</v>
      </c>
      <c r="H13" s="16">
        <f t="shared" si="8"/>
        <v>44000.000000000007</v>
      </c>
      <c r="I13" s="16">
        <f t="shared" si="8"/>
        <v>44000.000000000007</v>
      </c>
      <c r="J13" s="16">
        <f t="shared" si="8"/>
        <v>44000.000000000007</v>
      </c>
      <c r="K13" s="16">
        <f t="shared" si="8"/>
        <v>52800.000000000007</v>
      </c>
      <c r="L13" s="16">
        <f t="shared" si="8"/>
        <v>44000.000000000007</v>
      </c>
      <c r="M13" s="16">
        <f t="shared" si="8"/>
        <v>26400.000000000004</v>
      </c>
      <c r="N13" s="16">
        <f t="shared" si="6"/>
        <v>440000.00000000006</v>
      </c>
      <c r="O13" s="2">
        <v>400000</v>
      </c>
      <c r="P13" s="6">
        <v>10</v>
      </c>
    </row>
    <row r="14" spans="1:18" x14ac:dyDescent="0.2">
      <c r="A14" s="1" t="s">
        <v>27</v>
      </c>
      <c r="B14" s="16">
        <f>$O14*(1+($P14/100))*(B43/100)</f>
        <v>0</v>
      </c>
      <c r="C14" s="16">
        <f t="shared" si="8"/>
        <v>0</v>
      </c>
      <c r="D14" s="16">
        <f t="shared" si="8"/>
        <v>0</v>
      </c>
      <c r="E14" s="16">
        <f t="shared" si="8"/>
        <v>0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16">
        <f t="shared" si="8"/>
        <v>0</v>
      </c>
      <c r="J14" s="16">
        <f t="shared" si="8"/>
        <v>0</v>
      </c>
      <c r="K14" s="16">
        <f t="shared" si="8"/>
        <v>0</v>
      </c>
      <c r="L14" s="16">
        <f t="shared" si="8"/>
        <v>0</v>
      </c>
      <c r="M14" s="16">
        <f t="shared" si="8"/>
        <v>0</v>
      </c>
      <c r="N14" s="16">
        <f t="shared" si="6"/>
        <v>0</v>
      </c>
      <c r="O14" s="2">
        <v>0</v>
      </c>
      <c r="P14" s="6">
        <v>0</v>
      </c>
    </row>
    <row r="15" spans="1:18" x14ac:dyDescent="0.2">
      <c r="A15" s="1" t="s">
        <v>28</v>
      </c>
      <c r="B15" s="16">
        <f>$O15*(1+($P15/100))*(B44/100)</f>
        <v>0</v>
      </c>
      <c r="C15" s="16">
        <f t="shared" si="8"/>
        <v>0</v>
      </c>
      <c r="D15" s="16">
        <f t="shared" si="8"/>
        <v>0</v>
      </c>
      <c r="E15" s="16">
        <f t="shared" si="8"/>
        <v>0</v>
      </c>
      <c r="F15" s="16">
        <f t="shared" si="8"/>
        <v>0</v>
      </c>
      <c r="G15" s="16">
        <f t="shared" si="8"/>
        <v>0</v>
      </c>
      <c r="H15" s="16">
        <f t="shared" si="8"/>
        <v>0</v>
      </c>
      <c r="I15" s="16">
        <f t="shared" si="8"/>
        <v>0</v>
      </c>
      <c r="J15" s="16">
        <f t="shared" si="8"/>
        <v>0</v>
      </c>
      <c r="K15" s="16">
        <f t="shared" si="8"/>
        <v>0</v>
      </c>
      <c r="L15" s="16">
        <f t="shared" si="8"/>
        <v>0</v>
      </c>
      <c r="M15" s="16">
        <f t="shared" si="8"/>
        <v>0</v>
      </c>
      <c r="N15" s="16">
        <f t="shared" si="6"/>
        <v>0</v>
      </c>
      <c r="O15" s="2">
        <v>0</v>
      </c>
      <c r="P15" s="1">
        <v>0</v>
      </c>
    </row>
    <row r="16" spans="1:18" x14ac:dyDescent="0.2">
      <c r="A16" s="1" t="s">
        <v>29</v>
      </c>
      <c r="B16" s="16">
        <f>$O16*(1+($P16/100))*(B45/100)</f>
        <v>0</v>
      </c>
      <c r="C16" s="16">
        <f t="shared" si="8"/>
        <v>0</v>
      </c>
      <c r="D16" s="16">
        <f t="shared" si="8"/>
        <v>0</v>
      </c>
      <c r="E16" s="16">
        <f t="shared" si="8"/>
        <v>0</v>
      </c>
      <c r="F16" s="16">
        <f t="shared" si="8"/>
        <v>0</v>
      </c>
      <c r="G16" s="16">
        <f t="shared" si="8"/>
        <v>0</v>
      </c>
      <c r="H16" s="16">
        <f t="shared" si="8"/>
        <v>0</v>
      </c>
      <c r="I16" s="16">
        <f t="shared" si="8"/>
        <v>0</v>
      </c>
      <c r="J16" s="16">
        <f t="shared" si="8"/>
        <v>0</v>
      </c>
      <c r="K16" s="16">
        <f t="shared" si="8"/>
        <v>0</v>
      </c>
      <c r="L16" s="16">
        <f t="shared" si="8"/>
        <v>0</v>
      </c>
      <c r="M16" s="16">
        <f t="shared" si="8"/>
        <v>0</v>
      </c>
      <c r="N16" s="16">
        <f t="shared" si="6"/>
        <v>0</v>
      </c>
      <c r="O16" s="2">
        <v>0</v>
      </c>
      <c r="P16" s="1">
        <v>0</v>
      </c>
    </row>
    <row r="17" spans="1:14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4" x14ac:dyDescent="0.2">
      <c r="A18" s="1" t="s">
        <v>30</v>
      </c>
      <c r="B18" s="16">
        <f>SUM(B19:B27)</f>
        <v>72666</v>
      </c>
      <c r="C18" s="16">
        <f t="shared" ref="C18:N18" si="9">SUM(C19:C27)</f>
        <v>72666</v>
      </c>
      <c r="D18" s="16">
        <f t="shared" si="9"/>
        <v>72666</v>
      </c>
      <c r="E18" s="16">
        <f t="shared" si="9"/>
        <v>72666</v>
      </c>
      <c r="F18" s="16">
        <f t="shared" si="9"/>
        <v>96888</v>
      </c>
      <c r="G18" s="16">
        <f t="shared" si="9"/>
        <v>121110</v>
      </c>
      <c r="H18" s="16">
        <f t="shared" si="9"/>
        <v>121110</v>
      </c>
      <c r="I18" s="16">
        <f t="shared" si="9"/>
        <v>121110</v>
      </c>
      <c r="J18" s="16">
        <f t="shared" si="9"/>
        <v>121110</v>
      </c>
      <c r="K18" s="16">
        <f t="shared" si="9"/>
        <v>145332</v>
      </c>
      <c r="L18" s="16">
        <f t="shared" si="9"/>
        <v>121110</v>
      </c>
      <c r="M18" s="16">
        <f t="shared" si="9"/>
        <v>72666</v>
      </c>
      <c r="N18" s="16">
        <f t="shared" si="9"/>
        <v>1211100</v>
      </c>
    </row>
    <row r="19" spans="1:14" x14ac:dyDescent="0.2">
      <c r="A19" s="1" t="s">
        <v>20</v>
      </c>
      <c r="B19" s="16">
        <f t="shared" ref="B19:M26" si="10">B7*$B31/100</f>
        <v>21600</v>
      </c>
      <c r="C19" s="16">
        <f t="shared" si="10"/>
        <v>21600</v>
      </c>
      <c r="D19" s="16">
        <f t="shared" si="10"/>
        <v>21600</v>
      </c>
      <c r="E19" s="16">
        <f t="shared" si="10"/>
        <v>21600</v>
      </c>
      <c r="F19" s="16">
        <f t="shared" si="10"/>
        <v>28800</v>
      </c>
      <c r="G19" s="16">
        <f t="shared" si="10"/>
        <v>36000</v>
      </c>
      <c r="H19" s="16">
        <f t="shared" si="10"/>
        <v>36000</v>
      </c>
      <c r="I19" s="16">
        <f t="shared" si="10"/>
        <v>36000</v>
      </c>
      <c r="J19" s="16">
        <f t="shared" si="10"/>
        <v>36000</v>
      </c>
      <c r="K19" s="16">
        <f t="shared" si="10"/>
        <v>43200</v>
      </c>
      <c r="L19" s="16">
        <f t="shared" si="10"/>
        <v>36000</v>
      </c>
      <c r="M19" s="16">
        <f t="shared" si="10"/>
        <v>21600</v>
      </c>
      <c r="N19" s="16">
        <f>SUM(B19:M19)</f>
        <v>360000</v>
      </c>
    </row>
    <row r="20" spans="1:14" x14ac:dyDescent="0.2">
      <c r="A20" s="1" t="s">
        <v>21</v>
      </c>
      <c r="B20" s="16">
        <f t="shared" si="10"/>
        <v>13200</v>
      </c>
      <c r="C20" s="16">
        <f t="shared" si="10"/>
        <v>13200</v>
      </c>
      <c r="D20" s="16">
        <f t="shared" si="10"/>
        <v>13200</v>
      </c>
      <c r="E20" s="16">
        <f t="shared" si="10"/>
        <v>13200</v>
      </c>
      <c r="F20" s="16">
        <f t="shared" si="10"/>
        <v>17600</v>
      </c>
      <c r="G20" s="16">
        <f t="shared" si="10"/>
        <v>22000</v>
      </c>
      <c r="H20" s="16">
        <f t="shared" si="10"/>
        <v>22000</v>
      </c>
      <c r="I20" s="16">
        <f t="shared" si="10"/>
        <v>22000</v>
      </c>
      <c r="J20" s="16">
        <f t="shared" si="10"/>
        <v>22000</v>
      </c>
      <c r="K20" s="16">
        <f t="shared" si="10"/>
        <v>26400</v>
      </c>
      <c r="L20" s="16">
        <f t="shared" si="10"/>
        <v>22000</v>
      </c>
      <c r="M20" s="16">
        <f t="shared" si="10"/>
        <v>13200</v>
      </c>
      <c r="N20" s="16">
        <f>SUM(B20:M20)</f>
        <v>220000</v>
      </c>
    </row>
    <row r="21" spans="1:14" x14ac:dyDescent="0.2">
      <c r="A21" s="1" t="s">
        <v>22</v>
      </c>
      <c r="B21" s="16">
        <f t="shared" si="10"/>
        <v>12074.999999999998</v>
      </c>
      <c r="C21" s="16">
        <f t="shared" si="10"/>
        <v>12074.999999999998</v>
      </c>
      <c r="D21" s="16">
        <f t="shared" si="10"/>
        <v>12074.999999999998</v>
      </c>
      <c r="E21" s="16">
        <f t="shared" si="10"/>
        <v>12074.999999999998</v>
      </c>
      <c r="F21" s="16">
        <f t="shared" si="10"/>
        <v>16099.999999999998</v>
      </c>
      <c r="G21" s="16">
        <f t="shared" si="10"/>
        <v>20125</v>
      </c>
      <c r="H21" s="16">
        <f t="shared" si="10"/>
        <v>20125</v>
      </c>
      <c r="I21" s="16">
        <f t="shared" si="10"/>
        <v>20125</v>
      </c>
      <c r="J21" s="16">
        <f t="shared" si="10"/>
        <v>20125</v>
      </c>
      <c r="K21" s="16">
        <f t="shared" si="10"/>
        <v>24149.999999999996</v>
      </c>
      <c r="L21" s="16">
        <f t="shared" si="10"/>
        <v>20125</v>
      </c>
      <c r="M21" s="16">
        <f t="shared" si="10"/>
        <v>12074.999999999998</v>
      </c>
      <c r="N21" s="16">
        <f>SUM(B21:M21)</f>
        <v>201250</v>
      </c>
    </row>
    <row r="22" spans="1:14" x14ac:dyDescent="0.2">
      <c r="A22" s="1" t="s">
        <v>23</v>
      </c>
      <c r="B22" s="16">
        <f t="shared" si="10"/>
        <v>6552.0000000000009</v>
      </c>
      <c r="C22" s="16">
        <f t="shared" si="10"/>
        <v>6552.0000000000009</v>
      </c>
      <c r="D22" s="16">
        <f t="shared" si="10"/>
        <v>6552.0000000000009</v>
      </c>
      <c r="E22" s="16">
        <f t="shared" si="10"/>
        <v>6552.0000000000009</v>
      </c>
      <c r="F22" s="16">
        <f t="shared" si="10"/>
        <v>8736.0000000000018</v>
      </c>
      <c r="G22" s="16">
        <f t="shared" si="10"/>
        <v>10920.000000000002</v>
      </c>
      <c r="H22" s="16">
        <f t="shared" si="10"/>
        <v>10920.000000000002</v>
      </c>
      <c r="I22" s="16">
        <f t="shared" si="10"/>
        <v>10920.000000000002</v>
      </c>
      <c r="J22" s="16">
        <f t="shared" si="10"/>
        <v>10920.000000000002</v>
      </c>
      <c r="K22" s="16">
        <f t="shared" si="10"/>
        <v>13104.000000000002</v>
      </c>
      <c r="L22" s="16">
        <f t="shared" si="10"/>
        <v>10920.000000000002</v>
      </c>
      <c r="M22" s="16">
        <f t="shared" si="10"/>
        <v>6552.0000000000009</v>
      </c>
      <c r="N22" s="16">
        <f>SUM(B22:M22)</f>
        <v>109200.00000000001</v>
      </c>
    </row>
    <row r="23" spans="1:14" x14ac:dyDescent="0.2">
      <c r="A23" s="1" t="s">
        <v>24</v>
      </c>
      <c r="B23" s="16">
        <f t="shared" si="10"/>
        <v>6930</v>
      </c>
      <c r="C23" s="16">
        <f t="shared" si="10"/>
        <v>6930</v>
      </c>
      <c r="D23" s="16">
        <f t="shared" si="10"/>
        <v>6930</v>
      </c>
      <c r="E23" s="16">
        <f t="shared" si="10"/>
        <v>6930</v>
      </c>
      <c r="F23" s="16">
        <f t="shared" si="10"/>
        <v>9240</v>
      </c>
      <c r="G23" s="16">
        <f t="shared" si="10"/>
        <v>11550</v>
      </c>
      <c r="H23" s="16">
        <f t="shared" si="10"/>
        <v>11550</v>
      </c>
      <c r="I23" s="16">
        <f t="shared" si="10"/>
        <v>11550</v>
      </c>
      <c r="J23" s="16">
        <f t="shared" si="10"/>
        <v>11550</v>
      </c>
      <c r="K23" s="16">
        <f t="shared" si="10"/>
        <v>13860</v>
      </c>
      <c r="L23" s="16">
        <f t="shared" si="10"/>
        <v>11550</v>
      </c>
      <c r="M23" s="16">
        <f t="shared" si="10"/>
        <v>6930</v>
      </c>
      <c r="N23" s="16">
        <f t="shared" ref="N23:N28" si="11">SUM(B23:M23)</f>
        <v>115500</v>
      </c>
    </row>
    <row r="24" spans="1:14" x14ac:dyDescent="0.2">
      <c r="A24" s="1" t="s">
        <v>25</v>
      </c>
      <c r="B24" s="16">
        <f t="shared" si="10"/>
        <v>6237</v>
      </c>
      <c r="C24" s="16">
        <f t="shared" si="10"/>
        <v>6237</v>
      </c>
      <c r="D24" s="16">
        <f t="shared" si="10"/>
        <v>6237</v>
      </c>
      <c r="E24" s="16">
        <f t="shared" si="10"/>
        <v>6237</v>
      </c>
      <c r="F24" s="16">
        <f t="shared" si="10"/>
        <v>8316</v>
      </c>
      <c r="G24" s="16">
        <f t="shared" si="10"/>
        <v>10395</v>
      </c>
      <c r="H24" s="16">
        <f t="shared" si="10"/>
        <v>10395</v>
      </c>
      <c r="I24" s="16">
        <f t="shared" si="10"/>
        <v>10395</v>
      </c>
      <c r="J24" s="16">
        <f t="shared" si="10"/>
        <v>10395</v>
      </c>
      <c r="K24" s="16">
        <f t="shared" si="10"/>
        <v>12474</v>
      </c>
      <c r="L24" s="16">
        <f t="shared" si="10"/>
        <v>10395</v>
      </c>
      <c r="M24" s="16">
        <f t="shared" si="10"/>
        <v>6237</v>
      </c>
      <c r="N24" s="16">
        <f t="shared" si="11"/>
        <v>103950</v>
      </c>
    </row>
    <row r="25" spans="1:14" x14ac:dyDescent="0.2">
      <c r="A25" s="1" t="s">
        <v>26</v>
      </c>
      <c r="B25" s="16">
        <f t="shared" si="10"/>
        <v>6072.0000000000009</v>
      </c>
      <c r="C25" s="16">
        <f t="shared" si="10"/>
        <v>6072.0000000000009</v>
      </c>
      <c r="D25" s="16">
        <f t="shared" si="10"/>
        <v>6072.0000000000009</v>
      </c>
      <c r="E25" s="16">
        <f t="shared" si="10"/>
        <v>6072.0000000000009</v>
      </c>
      <c r="F25" s="16">
        <f t="shared" si="10"/>
        <v>8096.0000000000009</v>
      </c>
      <c r="G25" s="16">
        <f t="shared" si="10"/>
        <v>10120.000000000002</v>
      </c>
      <c r="H25" s="16">
        <f t="shared" si="10"/>
        <v>10120.000000000002</v>
      </c>
      <c r="I25" s="16">
        <f t="shared" si="10"/>
        <v>10120.000000000002</v>
      </c>
      <c r="J25" s="16">
        <f t="shared" si="10"/>
        <v>10120.000000000002</v>
      </c>
      <c r="K25" s="16">
        <f t="shared" si="10"/>
        <v>12144.000000000002</v>
      </c>
      <c r="L25" s="16">
        <f t="shared" si="10"/>
        <v>10120.000000000002</v>
      </c>
      <c r="M25" s="16">
        <f t="shared" si="10"/>
        <v>6072.0000000000009</v>
      </c>
      <c r="N25" s="16">
        <f t="shared" si="11"/>
        <v>101200.00000000001</v>
      </c>
    </row>
    <row r="26" spans="1:14" x14ac:dyDescent="0.2">
      <c r="A26" s="1" t="s">
        <v>27</v>
      </c>
      <c r="B26" s="16">
        <f t="shared" si="10"/>
        <v>0</v>
      </c>
      <c r="C26" s="16">
        <f t="shared" si="10"/>
        <v>0</v>
      </c>
      <c r="D26" s="16">
        <f t="shared" si="10"/>
        <v>0</v>
      </c>
      <c r="E26" s="16">
        <f t="shared" si="10"/>
        <v>0</v>
      </c>
      <c r="F26" s="16">
        <f t="shared" si="10"/>
        <v>0</v>
      </c>
      <c r="G26" s="16">
        <f t="shared" si="10"/>
        <v>0</v>
      </c>
      <c r="H26" s="16">
        <f t="shared" si="10"/>
        <v>0</v>
      </c>
      <c r="I26" s="16">
        <f t="shared" si="10"/>
        <v>0</v>
      </c>
      <c r="J26" s="16">
        <f t="shared" si="10"/>
        <v>0</v>
      </c>
      <c r="K26" s="16">
        <f t="shared" si="10"/>
        <v>0</v>
      </c>
      <c r="L26" s="16">
        <f t="shared" si="10"/>
        <v>0</v>
      </c>
      <c r="M26" s="16">
        <f t="shared" si="10"/>
        <v>0</v>
      </c>
      <c r="N26" s="16">
        <f t="shared" si="11"/>
        <v>0</v>
      </c>
    </row>
    <row r="27" spans="1:14" x14ac:dyDescent="0.2">
      <c r="A27" s="1" t="s">
        <v>28</v>
      </c>
      <c r="B27" s="16">
        <f>B15*$B39/100</f>
        <v>0</v>
      </c>
      <c r="C27" s="16">
        <f t="shared" ref="C27:M28" si="12">C15*$B39/100</f>
        <v>0</v>
      </c>
      <c r="D27" s="16">
        <f t="shared" si="12"/>
        <v>0</v>
      </c>
      <c r="E27" s="16">
        <f t="shared" si="12"/>
        <v>0</v>
      </c>
      <c r="F27" s="16">
        <f t="shared" si="12"/>
        <v>0</v>
      </c>
      <c r="G27" s="16">
        <f t="shared" si="12"/>
        <v>0</v>
      </c>
      <c r="H27" s="16">
        <f t="shared" si="12"/>
        <v>0</v>
      </c>
      <c r="I27" s="16">
        <f t="shared" si="12"/>
        <v>0</v>
      </c>
      <c r="J27" s="16">
        <f t="shared" si="12"/>
        <v>0</v>
      </c>
      <c r="K27" s="16">
        <f t="shared" si="12"/>
        <v>0</v>
      </c>
      <c r="L27" s="16">
        <f t="shared" si="12"/>
        <v>0</v>
      </c>
      <c r="M27" s="16">
        <f t="shared" si="12"/>
        <v>0</v>
      </c>
      <c r="N27" s="16">
        <f t="shared" si="11"/>
        <v>0</v>
      </c>
    </row>
    <row r="28" spans="1:14" x14ac:dyDescent="0.2">
      <c r="A28" s="1" t="s">
        <v>29</v>
      </c>
      <c r="B28" s="16">
        <f>B16*$B40/100</f>
        <v>0</v>
      </c>
      <c r="C28" s="16">
        <f t="shared" si="12"/>
        <v>0</v>
      </c>
      <c r="D28" s="16">
        <f t="shared" si="12"/>
        <v>0</v>
      </c>
      <c r="E28" s="16">
        <f t="shared" si="12"/>
        <v>0</v>
      </c>
      <c r="F28" s="16">
        <f t="shared" si="12"/>
        <v>0</v>
      </c>
      <c r="G28" s="16">
        <f t="shared" si="12"/>
        <v>0</v>
      </c>
      <c r="H28" s="16">
        <f t="shared" si="12"/>
        <v>0</v>
      </c>
      <c r="I28" s="16">
        <f t="shared" si="12"/>
        <v>0</v>
      </c>
      <c r="J28" s="16">
        <f t="shared" si="12"/>
        <v>0</v>
      </c>
      <c r="K28" s="16">
        <f t="shared" si="12"/>
        <v>0</v>
      </c>
      <c r="L28" s="16">
        <f t="shared" si="12"/>
        <v>0</v>
      </c>
      <c r="M28" s="16">
        <f t="shared" si="12"/>
        <v>0</v>
      </c>
      <c r="N28" s="16">
        <f t="shared" si="11"/>
        <v>0</v>
      </c>
    </row>
    <row r="29" spans="1:14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 x14ac:dyDescent="0.2">
      <c r="A30" s="1" t="s">
        <v>31</v>
      </c>
      <c r="B30" s="16">
        <f>((B31*N7)+(N8*B32)+(N9*B33)+(N10*B34)+(N11*B35)+(N12*B36)+(N13*B37)+(N14*B38))/N6</f>
        <v>18.566610455311974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4" x14ac:dyDescent="0.2">
      <c r="A31" s="1" t="s">
        <v>20</v>
      </c>
      <c r="B31" s="2">
        <v>15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x14ac:dyDescent="0.2">
      <c r="A32" s="1" t="s">
        <v>21</v>
      </c>
      <c r="B32" s="2">
        <v>20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4" x14ac:dyDescent="0.2">
      <c r="A33" s="1" t="s">
        <v>22</v>
      </c>
      <c r="B33" s="2">
        <v>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x14ac:dyDescent="0.2">
      <c r="A34" s="1" t="s">
        <v>23</v>
      </c>
      <c r="B34" s="2">
        <v>15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4" x14ac:dyDescent="0.2">
      <c r="A35" s="1" t="s">
        <v>24</v>
      </c>
      <c r="B35" s="2">
        <v>20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4" x14ac:dyDescent="0.2">
      <c r="A36" s="1" t="s">
        <v>25</v>
      </c>
      <c r="B36" s="2">
        <v>22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4" x14ac:dyDescent="0.2">
      <c r="A37" s="1" t="s">
        <v>26</v>
      </c>
      <c r="B37" s="2">
        <v>23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4" x14ac:dyDescent="0.2">
      <c r="A38" s="1" t="s">
        <v>27</v>
      </c>
      <c r="B38" s="2">
        <v>25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4" x14ac:dyDescent="0.2">
      <c r="A39" s="1" t="s">
        <v>28</v>
      </c>
      <c r="B39" s="2">
        <v>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4" x14ac:dyDescent="0.2">
      <c r="A40" s="1" t="s">
        <v>29</v>
      </c>
      <c r="B40" s="2">
        <v>20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4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4" x14ac:dyDescent="0.2">
      <c r="A42" s="1" t="s">
        <v>32</v>
      </c>
      <c r="B42" s="2">
        <v>6</v>
      </c>
      <c r="C42" s="2">
        <v>6</v>
      </c>
      <c r="D42" s="2">
        <v>6</v>
      </c>
      <c r="E42" s="2">
        <v>6</v>
      </c>
      <c r="F42" s="2">
        <v>8</v>
      </c>
      <c r="G42" s="2">
        <v>10</v>
      </c>
      <c r="H42" s="2">
        <v>10</v>
      </c>
      <c r="I42" s="2">
        <v>10</v>
      </c>
      <c r="J42" s="2">
        <v>10</v>
      </c>
      <c r="K42" s="2">
        <v>12</v>
      </c>
      <c r="L42" s="2">
        <v>10</v>
      </c>
      <c r="M42" s="2">
        <v>6</v>
      </c>
      <c r="N42" s="2">
        <f>SUM(B42:M42)</f>
        <v>100</v>
      </c>
    </row>
    <row r="43" spans="1:14" x14ac:dyDescent="0.2">
      <c r="A43" s="2"/>
    </row>
    <row r="49" spans="1:1" x14ac:dyDescent="0.2">
      <c r="A49" s="2"/>
    </row>
  </sheetData>
  <pageMargins left="0" right="0" top="0.19685039370078741" bottom="0.19685039370078741" header="0.11811023622047245" footer="0"/>
  <pageSetup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sqref="A1:O28"/>
    </sheetView>
  </sheetViews>
  <sheetFormatPr defaultColWidth="11.42578125" defaultRowHeight="12.75" x14ac:dyDescent="0.2"/>
  <cols>
    <col min="1" max="1" width="14.42578125" style="1" customWidth="1"/>
    <col min="2" max="13" width="9.140625" style="3" customWidth="1"/>
    <col min="14" max="15" width="10.140625" style="2" customWidth="1"/>
    <col min="16" max="16384" width="11.42578125" style="5"/>
  </cols>
  <sheetData>
    <row r="1" spans="1:17" x14ac:dyDescent="0.2">
      <c r="B1" s="3" t="s">
        <v>35</v>
      </c>
      <c r="P1" s="4"/>
      <c r="Q1" s="1"/>
    </row>
    <row r="2" spans="1:17" x14ac:dyDescent="0.2">
      <c r="N2" s="2" t="s">
        <v>1</v>
      </c>
      <c r="O2" s="2" t="s">
        <v>1</v>
      </c>
    </row>
    <row r="3" spans="1:17" x14ac:dyDescent="0.2"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</row>
    <row r="4" spans="1:17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x14ac:dyDescent="0.2">
      <c r="A5" s="1" t="s">
        <v>34</v>
      </c>
      <c r="B5" s="16">
        <f>SUM(B6:B15)</f>
        <v>989400</v>
      </c>
      <c r="C5" s="16">
        <f>SUM(C6:C15)</f>
        <v>989400</v>
      </c>
      <c r="D5" s="16">
        <f>SUM(D6:D15)</f>
        <v>989400</v>
      </c>
      <c r="E5" s="16">
        <f>SUM(E6:E15)</f>
        <v>989400</v>
      </c>
      <c r="F5" s="16">
        <f t="shared" ref="F5:M5" si="0">SUM(F6:F15)</f>
        <v>1319200</v>
      </c>
      <c r="G5" s="16">
        <f t="shared" si="0"/>
        <v>1649000</v>
      </c>
      <c r="H5" s="16">
        <f t="shared" si="0"/>
        <v>1649000</v>
      </c>
      <c r="I5" s="16">
        <f t="shared" si="0"/>
        <v>1649000</v>
      </c>
      <c r="J5" s="16">
        <f t="shared" si="0"/>
        <v>1649000</v>
      </c>
      <c r="K5" s="16">
        <f t="shared" si="0"/>
        <v>1978800</v>
      </c>
      <c r="L5" s="16">
        <f t="shared" si="0"/>
        <v>1649000</v>
      </c>
      <c r="M5" s="16">
        <f t="shared" si="0"/>
        <v>989400</v>
      </c>
      <c r="N5" s="16">
        <f>SUM(B5:M5)</f>
        <v>16490000</v>
      </c>
      <c r="O5" s="16">
        <f>SUM(O6:O15)</f>
        <v>14620000</v>
      </c>
    </row>
    <row r="6" spans="1:17" x14ac:dyDescent="0.2">
      <c r="A6" s="1" t="s">
        <v>20</v>
      </c>
      <c r="B6" s="16">
        <f>'Tabela 9.1'!B7+'tabela 9.2'!B7</f>
        <v>315600</v>
      </c>
      <c r="C6" s="16">
        <f>'Tabela 9.1'!C7+'tabela 9.2'!C7</f>
        <v>315600</v>
      </c>
      <c r="D6" s="16">
        <f>'Tabela 9.1'!D7+'tabela 9.2'!D7</f>
        <v>315600</v>
      </c>
      <c r="E6" s="16">
        <f>'Tabela 9.1'!E7+'tabela 9.2'!E7</f>
        <v>315600</v>
      </c>
      <c r="F6" s="16">
        <f>'Tabela 9.1'!F7+'tabela 9.2'!F7</f>
        <v>420800</v>
      </c>
      <c r="G6" s="16">
        <f>'Tabela 9.1'!G7+'tabela 9.2'!G7</f>
        <v>526000</v>
      </c>
      <c r="H6" s="16">
        <f>'Tabela 9.1'!H7+'tabela 9.2'!H7</f>
        <v>526000</v>
      </c>
      <c r="I6" s="16">
        <f>'Tabela 9.1'!I7+'tabela 9.2'!I7</f>
        <v>526000</v>
      </c>
      <c r="J6" s="16">
        <f>'Tabela 9.1'!J7+'tabela 9.2'!J7</f>
        <v>526000</v>
      </c>
      <c r="K6" s="16">
        <f>'Tabela 9.1'!K7+'tabela 9.2'!K7</f>
        <v>631200</v>
      </c>
      <c r="L6" s="16">
        <f>'Tabela 9.1'!L7+'tabela 9.2'!L7</f>
        <v>526000</v>
      </c>
      <c r="M6" s="16">
        <f>'Tabela 9.1'!M7+'tabela 9.2'!M7</f>
        <v>315600</v>
      </c>
      <c r="N6" s="16">
        <f t="shared" ref="N6:N15" si="1">SUM(B6:M6)</f>
        <v>5260000</v>
      </c>
      <c r="O6" s="16">
        <f>'Tabela 9.1'!O7+'tabela 9.2'!O7</f>
        <v>4200000</v>
      </c>
    </row>
    <row r="7" spans="1:17" x14ac:dyDescent="0.2">
      <c r="A7" s="1" t="s">
        <v>21</v>
      </c>
      <c r="B7" s="16">
        <f>'Tabela 9.1'!B8+'tabela 9.2'!B8</f>
        <v>146640</v>
      </c>
      <c r="C7" s="16">
        <f>'Tabela 9.1'!C8+'tabela 9.2'!C8</f>
        <v>146640</v>
      </c>
      <c r="D7" s="16">
        <f>'Tabela 9.1'!D8+'tabela 9.2'!D8</f>
        <v>146640</v>
      </c>
      <c r="E7" s="16">
        <f>'Tabela 9.1'!E8+'tabela 9.2'!E8</f>
        <v>146640</v>
      </c>
      <c r="F7" s="16">
        <f>'Tabela 9.1'!F8+'tabela 9.2'!F8</f>
        <v>195520</v>
      </c>
      <c r="G7" s="16">
        <f>'Tabela 9.1'!G8+'tabela 9.2'!G8</f>
        <v>244400.00000000003</v>
      </c>
      <c r="H7" s="16">
        <f>'Tabela 9.1'!H8+'tabela 9.2'!H8</f>
        <v>244400.00000000003</v>
      </c>
      <c r="I7" s="16">
        <f>'Tabela 9.1'!I8+'tabela 9.2'!I8</f>
        <v>244400.00000000003</v>
      </c>
      <c r="J7" s="16">
        <f>'Tabela 9.1'!J8+'tabela 9.2'!J8</f>
        <v>244400.00000000003</v>
      </c>
      <c r="K7" s="16">
        <f>'Tabela 9.1'!K8+'tabela 9.2'!K8</f>
        <v>293280</v>
      </c>
      <c r="L7" s="16">
        <f>'Tabela 9.1'!L8+'tabela 9.2'!L8</f>
        <v>244400.00000000003</v>
      </c>
      <c r="M7" s="16">
        <f>'Tabela 9.1'!M8+'tabela 9.2'!M8</f>
        <v>146640</v>
      </c>
      <c r="N7" s="16">
        <f t="shared" si="1"/>
        <v>2444000</v>
      </c>
      <c r="O7" s="16">
        <f>'Tabela 9.1'!O8+'tabela 9.2'!O8</f>
        <v>2200000</v>
      </c>
    </row>
    <row r="8" spans="1:17" x14ac:dyDescent="0.2">
      <c r="A8" s="1" t="s">
        <v>22</v>
      </c>
      <c r="B8" s="16">
        <f>'Tabela 9.1'!B9+'tabela 9.2'!B9</f>
        <v>200100</v>
      </c>
      <c r="C8" s="16">
        <f>'Tabela 9.1'!C9+'tabela 9.2'!C9</f>
        <v>200100</v>
      </c>
      <c r="D8" s="16">
        <f>'Tabela 9.1'!D9+'tabela 9.2'!D9</f>
        <v>200100</v>
      </c>
      <c r="E8" s="16">
        <f>'Tabela 9.1'!E9+'tabela 9.2'!E9</f>
        <v>200100</v>
      </c>
      <c r="F8" s="16">
        <f>'Tabela 9.1'!F9+'tabela 9.2'!F9</f>
        <v>266800</v>
      </c>
      <c r="G8" s="16">
        <f>'Tabela 9.1'!G9+'tabela 9.2'!G9</f>
        <v>333500</v>
      </c>
      <c r="H8" s="16">
        <f>'Tabela 9.1'!H9+'tabela 9.2'!H9</f>
        <v>333500</v>
      </c>
      <c r="I8" s="16">
        <f>'Tabela 9.1'!I9+'tabela 9.2'!I9</f>
        <v>333500</v>
      </c>
      <c r="J8" s="16">
        <f>'Tabela 9.1'!J9+'tabela 9.2'!J9</f>
        <v>333500</v>
      </c>
      <c r="K8" s="16">
        <f>'Tabela 9.1'!K9+'tabela 9.2'!K9</f>
        <v>400200</v>
      </c>
      <c r="L8" s="16">
        <f>'Tabela 9.1'!L9+'tabela 9.2'!L9</f>
        <v>333500</v>
      </c>
      <c r="M8" s="16">
        <f>'Tabela 9.1'!M9+'tabela 9.2'!M9</f>
        <v>200100</v>
      </c>
      <c r="N8" s="16">
        <f t="shared" si="1"/>
        <v>3335000</v>
      </c>
      <c r="O8" s="16">
        <f>'Tabela 9.1'!O9+'tabela 9.2'!O9</f>
        <v>3000000</v>
      </c>
    </row>
    <row r="9" spans="1:17" x14ac:dyDescent="0.2">
      <c r="A9" s="1" t="s">
        <v>23</v>
      </c>
      <c r="B9" s="16">
        <f>'Tabela 9.1'!B10+'tabela 9.2'!B10</f>
        <v>94080</v>
      </c>
      <c r="C9" s="16">
        <f>'Tabela 9.1'!C10+'tabela 9.2'!C10</f>
        <v>94080</v>
      </c>
      <c r="D9" s="16">
        <f>'Tabela 9.1'!D10+'tabela 9.2'!D10</f>
        <v>94080</v>
      </c>
      <c r="E9" s="16">
        <f>'Tabela 9.1'!E10+'tabela 9.2'!E10</f>
        <v>94080</v>
      </c>
      <c r="F9" s="16">
        <f>'Tabela 9.1'!F10+'tabela 9.2'!F10</f>
        <v>125440</v>
      </c>
      <c r="G9" s="16">
        <f>'Tabela 9.1'!G10+'tabela 9.2'!G10</f>
        <v>156800</v>
      </c>
      <c r="H9" s="16">
        <f>'Tabela 9.1'!H10+'tabela 9.2'!H10</f>
        <v>156800</v>
      </c>
      <c r="I9" s="16">
        <f>'Tabela 9.1'!I10+'tabela 9.2'!I10</f>
        <v>156800</v>
      </c>
      <c r="J9" s="16">
        <f>'Tabela 9.1'!J10+'tabela 9.2'!J10</f>
        <v>156800</v>
      </c>
      <c r="K9" s="16">
        <f>'Tabela 9.1'!K10+'tabela 9.2'!K10</f>
        <v>188160</v>
      </c>
      <c r="L9" s="16">
        <f>'Tabela 9.1'!L10+'tabela 9.2'!L10</f>
        <v>156800</v>
      </c>
      <c r="M9" s="16">
        <f>'Tabela 9.1'!M10+'tabela 9.2'!M10</f>
        <v>94080</v>
      </c>
      <c r="N9" s="16">
        <f t="shared" si="1"/>
        <v>1568000</v>
      </c>
      <c r="O9" s="16">
        <f>'Tabela 9.1'!O10+'tabela 9.2'!O10</f>
        <v>1450000</v>
      </c>
    </row>
    <row r="10" spans="1:17" x14ac:dyDescent="0.2">
      <c r="A10" s="1" t="s">
        <v>24</v>
      </c>
      <c r="B10" s="16">
        <f>'Tabela 9.1'!B11+'tabela 9.2'!B11</f>
        <v>81450</v>
      </c>
      <c r="C10" s="16">
        <f>'Tabela 9.1'!C11+'tabela 9.2'!C11</f>
        <v>81450</v>
      </c>
      <c r="D10" s="16">
        <f>'Tabela 9.1'!D11+'tabela 9.2'!D11</f>
        <v>81450</v>
      </c>
      <c r="E10" s="16">
        <f>'Tabela 9.1'!E11+'tabela 9.2'!E11</f>
        <v>81450</v>
      </c>
      <c r="F10" s="16">
        <f>'Tabela 9.1'!F11+'tabela 9.2'!F11</f>
        <v>108600</v>
      </c>
      <c r="G10" s="16">
        <f>'Tabela 9.1'!G11+'tabela 9.2'!G11</f>
        <v>135750</v>
      </c>
      <c r="H10" s="16">
        <f>'Tabela 9.1'!H11+'tabela 9.2'!H11</f>
        <v>135750</v>
      </c>
      <c r="I10" s="16">
        <f>'Tabela 9.1'!I11+'tabela 9.2'!I11</f>
        <v>135750</v>
      </c>
      <c r="J10" s="16">
        <f>'Tabela 9.1'!J11+'tabela 9.2'!J11</f>
        <v>135750</v>
      </c>
      <c r="K10" s="16">
        <f>'Tabela 9.1'!K11+'tabela 9.2'!K11</f>
        <v>162900</v>
      </c>
      <c r="L10" s="16">
        <f>'Tabela 9.1'!L11+'tabela 9.2'!L11</f>
        <v>135750</v>
      </c>
      <c r="M10" s="16">
        <f>'Tabela 9.1'!M11+'tabela 9.2'!M11</f>
        <v>81450</v>
      </c>
      <c r="N10" s="16">
        <f>'Tabela 9.1'!N11+'tabela 9.2'!N11</f>
        <v>1357500</v>
      </c>
      <c r="O10" s="16">
        <f>'Tabela 9.1'!O11</f>
        <v>780000</v>
      </c>
    </row>
    <row r="11" spans="1:17" x14ac:dyDescent="0.2">
      <c r="A11" s="1" t="s">
        <v>25</v>
      </c>
      <c r="B11" s="16">
        <f>'Tabela 9.1'!B12+'tabela 9.2'!B12</f>
        <v>53730</v>
      </c>
      <c r="C11" s="16">
        <f>'Tabela 9.1'!C12+'tabela 9.2'!C12</f>
        <v>53730</v>
      </c>
      <c r="D11" s="16">
        <f>'Tabela 9.1'!D12+'tabela 9.2'!D12</f>
        <v>53730</v>
      </c>
      <c r="E11" s="16">
        <f>'Tabela 9.1'!E12+'tabela 9.2'!E12</f>
        <v>53730</v>
      </c>
      <c r="F11" s="16">
        <f>'Tabela 9.1'!F12+'tabela 9.2'!F12</f>
        <v>71640</v>
      </c>
      <c r="G11" s="16">
        <f>'Tabela 9.1'!G12+'tabela 9.2'!G12</f>
        <v>89550</v>
      </c>
      <c r="H11" s="16">
        <f>'Tabela 9.1'!H12+'tabela 9.2'!H12</f>
        <v>89550</v>
      </c>
      <c r="I11" s="16">
        <f>'Tabela 9.1'!I12+'tabela 9.2'!I12</f>
        <v>89550</v>
      </c>
      <c r="J11" s="16">
        <f>'Tabela 9.1'!J12+'tabela 9.2'!J12</f>
        <v>89550</v>
      </c>
      <c r="K11" s="16">
        <f>'Tabela 9.1'!K12+'tabela 9.2'!K12</f>
        <v>107460</v>
      </c>
      <c r="L11" s="16">
        <f>'Tabela 9.1'!L12+'tabela 9.2'!L12</f>
        <v>89550</v>
      </c>
      <c r="M11" s="16">
        <f>'Tabela 9.1'!M12+'tabela 9.2'!M12</f>
        <v>53730</v>
      </c>
      <c r="N11" s="16">
        <f t="shared" si="1"/>
        <v>895500</v>
      </c>
      <c r="O11" s="16">
        <f>'Tabela 9.1'!O12+'tabela 9.2'!O11</f>
        <v>1000000</v>
      </c>
    </row>
    <row r="12" spans="1:17" x14ac:dyDescent="0.2">
      <c r="A12" s="1" t="s">
        <v>26</v>
      </c>
      <c r="B12" s="16">
        <f>'Tabela 9.1'!B13+'tabela 9.2'!B13</f>
        <v>52800.000000000007</v>
      </c>
      <c r="C12" s="16">
        <f>'Tabela 9.1'!C13+'tabela 9.2'!C13</f>
        <v>52800.000000000007</v>
      </c>
      <c r="D12" s="16">
        <f>'Tabela 9.1'!D13+'tabela 9.2'!D13</f>
        <v>52800.000000000007</v>
      </c>
      <c r="E12" s="16">
        <f>'Tabela 9.1'!E13+'tabela 9.2'!E13</f>
        <v>52800.000000000007</v>
      </c>
      <c r="F12" s="16">
        <f>'Tabela 9.1'!F13+'tabela 9.2'!F13</f>
        <v>70400.000000000015</v>
      </c>
      <c r="G12" s="16">
        <f>'Tabela 9.1'!G13+'tabela 9.2'!G13</f>
        <v>88000.000000000015</v>
      </c>
      <c r="H12" s="16">
        <f>'Tabela 9.1'!H13+'tabela 9.2'!H13</f>
        <v>88000.000000000015</v>
      </c>
      <c r="I12" s="16">
        <f>'Tabela 9.1'!I13+'tabela 9.2'!I13</f>
        <v>88000.000000000015</v>
      </c>
      <c r="J12" s="16">
        <f>'Tabela 9.1'!J13+'tabela 9.2'!J13</f>
        <v>88000.000000000015</v>
      </c>
      <c r="K12" s="16">
        <f>'Tabela 9.1'!K13+'tabela 9.2'!K13</f>
        <v>105600.00000000001</v>
      </c>
      <c r="L12" s="16">
        <f>'Tabela 9.1'!L13+'tabela 9.2'!L13</f>
        <v>88000.000000000015</v>
      </c>
      <c r="M12" s="16">
        <f>'Tabela 9.1'!M13+'tabela 9.2'!M13</f>
        <v>52800.000000000007</v>
      </c>
      <c r="N12" s="16">
        <f t="shared" si="1"/>
        <v>880000.00000000012</v>
      </c>
      <c r="O12" s="16">
        <f>'Tabela 9.1'!O13+'tabela 9.2'!O12</f>
        <v>850000</v>
      </c>
    </row>
    <row r="13" spans="1:17" x14ac:dyDescent="0.2">
      <c r="A13" s="1" t="s">
        <v>27</v>
      </c>
      <c r="B13" s="16">
        <f>'Tabela 9.1'!B14+'tabela 9.2'!B14</f>
        <v>20808</v>
      </c>
      <c r="C13" s="16">
        <f>'Tabela 9.1'!C14+'tabela 9.2'!C14</f>
        <v>20808</v>
      </c>
      <c r="D13" s="16">
        <f>'Tabela 9.1'!D14+'tabela 9.2'!D14</f>
        <v>20808</v>
      </c>
      <c r="E13" s="16">
        <f>'Tabela 9.1'!E14+'tabela 9.2'!E14</f>
        <v>20808</v>
      </c>
      <c r="F13" s="16">
        <f>'Tabela 9.1'!F14+'tabela 9.2'!F14</f>
        <v>27744</v>
      </c>
      <c r="G13" s="16">
        <f>'Tabela 9.1'!G14+'tabela 9.2'!G14</f>
        <v>34680</v>
      </c>
      <c r="H13" s="16">
        <f>'Tabela 9.1'!H14+'tabela 9.2'!H14</f>
        <v>34680</v>
      </c>
      <c r="I13" s="16">
        <f>'Tabela 9.1'!I14+'tabela 9.2'!I14</f>
        <v>34680</v>
      </c>
      <c r="J13" s="16">
        <f>'Tabela 9.1'!J14+'tabela 9.2'!J14</f>
        <v>34680</v>
      </c>
      <c r="K13" s="16">
        <f>'Tabela 9.1'!K14+'tabela 9.2'!K14</f>
        <v>41616</v>
      </c>
      <c r="L13" s="16">
        <f>'Tabela 9.1'!L14+'tabela 9.2'!L14</f>
        <v>34680</v>
      </c>
      <c r="M13" s="16">
        <f>'Tabela 9.1'!M14+'tabela 9.2'!M14</f>
        <v>20808</v>
      </c>
      <c r="N13" s="16">
        <f t="shared" si="1"/>
        <v>346800</v>
      </c>
      <c r="O13" s="16">
        <f>'Tabela 9.1'!O14+'tabela 9.2'!O13</f>
        <v>740000</v>
      </c>
    </row>
    <row r="14" spans="1:17" x14ac:dyDescent="0.2">
      <c r="A14" s="1" t="s">
        <v>28</v>
      </c>
      <c r="B14" s="16">
        <f>'Tabela 9.1'!B15+'tabela 9.2'!B15</f>
        <v>19392</v>
      </c>
      <c r="C14" s="16">
        <f>'Tabela 9.1'!C15+'tabela 9.2'!C15</f>
        <v>19392</v>
      </c>
      <c r="D14" s="16">
        <f>'Tabela 9.1'!D15+'tabela 9.2'!D15</f>
        <v>19392</v>
      </c>
      <c r="E14" s="16">
        <f>'Tabela 9.1'!E15+'tabela 9.2'!E15</f>
        <v>19392</v>
      </c>
      <c r="F14" s="16">
        <f>'Tabela 9.1'!F15+'tabela 9.2'!F15</f>
        <v>25856</v>
      </c>
      <c r="G14" s="16">
        <f>'Tabela 9.1'!G15+'tabela 9.2'!G15</f>
        <v>32320</v>
      </c>
      <c r="H14" s="16">
        <f>'Tabela 9.1'!H15+'tabela 9.2'!H15</f>
        <v>32320</v>
      </c>
      <c r="I14" s="16">
        <f>'Tabela 9.1'!I15+'tabela 9.2'!I15</f>
        <v>32320</v>
      </c>
      <c r="J14" s="16">
        <f>'Tabela 9.1'!J15+'tabela 9.2'!J15</f>
        <v>32320</v>
      </c>
      <c r="K14" s="16">
        <f>'Tabela 9.1'!K15+'tabela 9.2'!K15</f>
        <v>38784</v>
      </c>
      <c r="L14" s="16">
        <f>'Tabela 9.1'!L15+'tabela 9.2'!L15</f>
        <v>32320</v>
      </c>
      <c r="M14" s="16">
        <f>'Tabela 9.1'!M15+'tabela 9.2'!M15</f>
        <v>19392</v>
      </c>
      <c r="N14" s="16">
        <f t="shared" si="1"/>
        <v>323200</v>
      </c>
      <c r="O14" s="16">
        <f>'Tabela 9.1'!O15</f>
        <v>320000</v>
      </c>
    </row>
    <row r="15" spans="1:17" x14ac:dyDescent="0.2">
      <c r="A15" s="1" t="s">
        <v>29</v>
      </c>
      <c r="B15" s="16">
        <f>'Tabela 9.1'!B16+'tabela 9.2'!B16</f>
        <v>4800</v>
      </c>
      <c r="C15" s="16">
        <f>'Tabela 9.1'!C16+'tabela 9.2'!C16</f>
        <v>4800</v>
      </c>
      <c r="D15" s="16">
        <f>'Tabela 9.1'!D16+'tabela 9.2'!D16</f>
        <v>4800</v>
      </c>
      <c r="E15" s="16">
        <f>'Tabela 9.1'!E16+'tabela 9.2'!E16</f>
        <v>4800</v>
      </c>
      <c r="F15" s="16">
        <f>'Tabela 9.1'!F16+'tabela 9.2'!F16</f>
        <v>6400</v>
      </c>
      <c r="G15" s="16">
        <f>'Tabela 9.1'!G16+'tabela 9.2'!G16</f>
        <v>8000</v>
      </c>
      <c r="H15" s="16">
        <f>'Tabela 9.1'!H16+'tabela 9.2'!H16</f>
        <v>8000</v>
      </c>
      <c r="I15" s="16">
        <f>'Tabela 9.1'!I16+'tabela 9.2'!I16</f>
        <v>8000</v>
      </c>
      <c r="J15" s="16">
        <f>'Tabela 9.1'!J16+'tabela 9.2'!J16</f>
        <v>8000</v>
      </c>
      <c r="K15" s="16">
        <f>'Tabela 9.1'!K16+'tabela 9.2'!K16</f>
        <v>9600</v>
      </c>
      <c r="L15" s="16">
        <f>'Tabela 9.1'!L16+'tabela 9.2'!L16</f>
        <v>8000</v>
      </c>
      <c r="M15" s="16">
        <f>'Tabela 9.1'!M16+'tabela 9.2'!M16</f>
        <v>4800</v>
      </c>
      <c r="N15" s="16">
        <f t="shared" si="1"/>
        <v>80000</v>
      </c>
      <c r="O15" s="16">
        <f>'Tabela 9.1'!O16</f>
        <v>80000</v>
      </c>
    </row>
    <row r="16" spans="1:17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4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4" x14ac:dyDescent="0.2">
      <c r="A18" s="1" t="s">
        <v>30</v>
      </c>
      <c r="B18" s="16">
        <f>SUM(B19:B28)</f>
        <v>188191.2</v>
      </c>
      <c r="C18" s="16">
        <f>SUM(C19:C28)</f>
        <v>188191.2</v>
      </c>
      <c r="D18" s="16">
        <f>SUM(D19:D28)</f>
        <v>188191.2</v>
      </c>
      <c r="E18" s="16">
        <f>SUM(E19:E28)</f>
        <v>188191.2</v>
      </c>
      <c r="F18" s="16">
        <f t="shared" ref="F18:N18" si="2">SUM(F19:F28)</f>
        <v>250921.59999999998</v>
      </c>
      <c r="G18" s="16">
        <f t="shared" si="2"/>
        <v>313652</v>
      </c>
      <c r="H18" s="16">
        <f t="shared" si="2"/>
        <v>313652</v>
      </c>
      <c r="I18" s="16">
        <f t="shared" si="2"/>
        <v>313652</v>
      </c>
      <c r="J18" s="16">
        <f t="shared" si="2"/>
        <v>313652</v>
      </c>
      <c r="K18" s="16">
        <f t="shared" si="2"/>
        <v>376382.4</v>
      </c>
      <c r="L18" s="16">
        <f t="shared" si="2"/>
        <v>313652</v>
      </c>
      <c r="M18" s="16">
        <f t="shared" si="2"/>
        <v>188191.2</v>
      </c>
      <c r="N18" s="16">
        <f t="shared" si="2"/>
        <v>3136520</v>
      </c>
    </row>
    <row r="19" spans="1:14" x14ac:dyDescent="0.2">
      <c r="A19" s="1" t="s">
        <v>20</v>
      </c>
      <c r="B19" s="16">
        <f>'Tabela 9.1'!B20+'tabela 9.2'!B19</f>
        <v>47340</v>
      </c>
      <c r="C19" s="16">
        <f>'Tabela 9.1'!C20+'tabela 9.2'!C19</f>
        <v>47340</v>
      </c>
      <c r="D19" s="16">
        <f>'Tabela 9.1'!D20+'tabela 9.2'!D19</f>
        <v>47340</v>
      </c>
      <c r="E19" s="16">
        <f>'Tabela 9.1'!E20+'tabela 9.2'!E19</f>
        <v>47340</v>
      </c>
      <c r="F19" s="16">
        <f>'Tabela 9.1'!F20+'tabela 9.2'!F19</f>
        <v>63120</v>
      </c>
      <c r="G19" s="16">
        <f>'Tabela 9.1'!G20+'tabela 9.2'!G19</f>
        <v>78900</v>
      </c>
      <c r="H19" s="16">
        <f>'Tabela 9.1'!H20+'tabela 9.2'!H19</f>
        <v>78900</v>
      </c>
      <c r="I19" s="16">
        <f>'Tabela 9.1'!I20+'tabela 9.2'!I19</f>
        <v>78900</v>
      </c>
      <c r="J19" s="16">
        <f>'Tabela 9.1'!J20+'tabela 9.2'!J19</f>
        <v>78900</v>
      </c>
      <c r="K19" s="16">
        <f>'Tabela 9.1'!K20+'tabela 9.2'!K19</f>
        <v>94680</v>
      </c>
      <c r="L19" s="16">
        <f>'Tabela 9.1'!L20+'tabela 9.2'!L19</f>
        <v>78900</v>
      </c>
      <c r="M19" s="16">
        <f>'Tabela 9.1'!M20+'tabela 9.2'!M19</f>
        <v>47340</v>
      </c>
      <c r="N19" s="16">
        <f t="shared" ref="N19:N28" si="3">SUM(B19:M19)</f>
        <v>789000</v>
      </c>
    </row>
    <row r="20" spans="1:14" x14ac:dyDescent="0.2">
      <c r="A20" s="1" t="s">
        <v>21</v>
      </c>
      <c r="B20" s="16">
        <f>'Tabela 9.1'!B21+'tabela 9.2'!B20</f>
        <v>29328</v>
      </c>
      <c r="C20" s="16">
        <f>'Tabela 9.1'!C21+'tabela 9.2'!C20</f>
        <v>29328</v>
      </c>
      <c r="D20" s="16">
        <f>'Tabela 9.1'!D21+'tabela 9.2'!D20</f>
        <v>29328</v>
      </c>
      <c r="E20" s="16">
        <f>'Tabela 9.1'!E21+'tabela 9.2'!E20</f>
        <v>29328</v>
      </c>
      <c r="F20" s="16">
        <f>'Tabela 9.1'!F21+'tabela 9.2'!F20</f>
        <v>39104</v>
      </c>
      <c r="G20" s="16">
        <f>'Tabela 9.1'!G21+'tabela 9.2'!G20</f>
        <v>48880</v>
      </c>
      <c r="H20" s="16">
        <f>'Tabela 9.1'!H21+'tabela 9.2'!H20</f>
        <v>48880</v>
      </c>
      <c r="I20" s="16">
        <f>'Tabela 9.1'!I21+'tabela 9.2'!I20</f>
        <v>48880</v>
      </c>
      <c r="J20" s="16">
        <f>'Tabela 9.1'!J21+'tabela 9.2'!J20</f>
        <v>48880</v>
      </c>
      <c r="K20" s="16">
        <f>'Tabela 9.1'!K21+'tabela 9.2'!K20</f>
        <v>58656</v>
      </c>
      <c r="L20" s="16">
        <f>'Tabela 9.1'!L21+'tabela 9.2'!L20</f>
        <v>48880</v>
      </c>
      <c r="M20" s="16">
        <f>'Tabela 9.1'!M21+'tabela 9.2'!M20</f>
        <v>29328</v>
      </c>
      <c r="N20" s="16">
        <f t="shared" si="3"/>
        <v>488800</v>
      </c>
    </row>
    <row r="21" spans="1:14" x14ac:dyDescent="0.2">
      <c r="A21" s="1" t="s">
        <v>22</v>
      </c>
      <c r="B21" s="16">
        <f>'Tabela 9.1'!B22+'tabela 9.2'!B21</f>
        <v>50025</v>
      </c>
      <c r="C21" s="16">
        <f>'Tabela 9.1'!C22+'tabela 9.2'!C21</f>
        <v>50025</v>
      </c>
      <c r="D21" s="16">
        <f>'Tabela 9.1'!D22+'tabela 9.2'!D21</f>
        <v>50025</v>
      </c>
      <c r="E21" s="16">
        <f>'Tabela 9.1'!E22+'tabela 9.2'!E21</f>
        <v>50025</v>
      </c>
      <c r="F21" s="16">
        <f>'Tabela 9.1'!F22+'tabela 9.2'!F21</f>
        <v>66700</v>
      </c>
      <c r="G21" s="16">
        <f>'Tabela 9.1'!G22+'tabela 9.2'!G21</f>
        <v>83375</v>
      </c>
      <c r="H21" s="16">
        <f>'Tabela 9.1'!H22+'tabela 9.2'!H21</f>
        <v>83375</v>
      </c>
      <c r="I21" s="16">
        <f>'Tabela 9.1'!I22+'tabela 9.2'!I21</f>
        <v>83375</v>
      </c>
      <c r="J21" s="16">
        <f>'Tabela 9.1'!J22+'tabela 9.2'!J21</f>
        <v>83375</v>
      </c>
      <c r="K21" s="16">
        <f>'Tabela 9.1'!K22+'tabela 9.2'!K21</f>
        <v>100050</v>
      </c>
      <c r="L21" s="16">
        <f>'Tabela 9.1'!L22+'tabela 9.2'!L21</f>
        <v>83375</v>
      </c>
      <c r="M21" s="16">
        <f>'Tabela 9.1'!M22+'tabela 9.2'!M21</f>
        <v>50025</v>
      </c>
      <c r="N21" s="16">
        <f t="shared" si="3"/>
        <v>833750</v>
      </c>
    </row>
    <row r="22" spans="1:14" x14ac:dyDescent="0.2">
      <c r="A22" s="1" t="s">
        <v>23</v>
      </c>
      <c r="B22" s="16">
        <f>'Tabela 9.1'!B23+'tabela 9.2'!B22</f>
        <v>14112</v>
      </c>
      <c r="C22" s="16">
        <f>'Tabela 9.1'!C23+'tabela 9.2'!C22</f>
        <v>14112</v>
      </c>
      <c r="D22" s="16">
        <f>'Tabela 9.1'!D23+'tabela 9.2'!D22</f>
        <v>14112</v>
      </c>
      <c r="E22" s="16">
        <f>'Tabela 9.1'!E23+'tabela 9.2'!E22</f>
        <v>14112</v>
      </c>
      <c r="F22" s="16">
        <f>'Tabela 9.1'!F23+'tabela 9.2'!F22</f>
        <v>18816</v>
      </c>
      <c r="G22" s="16">
        <f>'Tabela 9.1'!G23+'tabela 9.2'!G22</f>
        <v>23520</v>
      </c>
      <c r="H22" s="16">
        <f>'Tabela 9.1'!H23+'tabela 9.2'!H22</f>
        <v>23520</v>
      </c>
      <c r="I22" s="16">
        <f>'Tabela 9.1'!I23+'tabela 9.2'!I22</f>
        <v>23520</v>
      </c>
      <c r="J22" s="16">
        <f>'Tabela 9.1'!J23+'tabela 9.2'!J22</f>
        <v>23520</v>
      </c>
      <c r="K22" s="16">
        <f>'Tabela 9.1'!K23+'tabela 9.2'!K22</f>
        <v>28224</v>
      </c>
      <c r="L22" s="16">
        <f>'Tabela 9.1'!L23+'tabela 9.2'!L22</f>
        <v>23520</v>
      </c>
      <c r="M22" s="16">
        <f>'Tabela 9.1'!M23+'tabela 9.2'!M22</f>
        <v>14112</v>
      </c>
      <c r="N22" s="16">
        <f t="shared" si="3"/>
        <v>235200</v>
      </c>
    </row>
    <row r="23" spans="1:14" x14ac:dyDescent="0.2">
      <c r="A23" s="1" t="s">
        <v>24</v>
      </c>
      <c r="B23" s="16">
        <f>'Tabela 9.1'!B24+'tabela 9.2'!B23</f>
        <v>16290</v>
      </c>
      <c r="C23" s="16">
        <f>'Tabela 9.1'!C24+'tabela 9.2'!C23</f>
        <v>16290</v>
      </c>
      <c r="D23" s="16">
        <f>'Tabela 9.1'!D24+'tabela 9.2'!D23</f>
        <v>16290</v>
      </c>
      <c r="E23" s="16">
        <f>'Tabela 9.1'!E24+'tabela 9.2'!E23</f>
        <v>16290</v>
      </c>
      <c r="F23" s="16">
        <f>'Tabela 9.1'!F24+'tabela 9.2'!F23</f>
        <v>21720</v>
      </c>
      <c r="G23" s="16">
        <f>'Tabela 9.1'!G24+'tabela 9.2'!G23</f>
        <v>27150</v>
      </c>
      <c r="H23" s="16">
        <f>'Tabela 9.1'!H24+'tabela 9.2'!H23</f>
        <v>27150</v>
      </c>
      <c r="I23" s="16">
        <f>'Tabela 9.1'!I24+'tabela 9.2'!I23</f>
        <v>27150</v>
      </c>
      <c r="J23" s="16">
        <f>'Tabela 9.1'!J24+'tabela 9.2'!J23</f>
        <v>27150</v>
      </c>
      <c r="K23" s="16">
        <f>'Tabela 9.1'!K24+'tabela 9.2'!K23</f>
        <v>32580</v>
      </c>
      <c r="L23" s="16">
        <f>'Tabela 9.1'!L24+'tabela 9.2'!L23</f>
        <v>27150</v>
      </c>
      <c r="M23" s="16">
        <f>'Tabela 9.1'!M24+'tabela 9.2'!M23</f>
        <v>16290</v>
      </c>
      <c r="N23" s="16">
        <f t="shared" si="3"/>
        <v>271500</v>
      </c>
    </row>
    <row r="24" spans="1:14" x14ac:dyDescent="0.2">
      <c r="A24" s="1" t="s">
        <v>25</v>
      </c>
      <c r="B24" s="16">
        <f>'Tabela 9.1'!B25+'tabela 9.2'!B24</f>
        <v>11820.6</v>
      </c>
      <c r="C24" s="16">
        <f>'Tabela 9.1'!C25+'tabela 9.2'!C24</f>
        <v>11820.6</v>
      </c>
      <c r="D24" s="16">
        <f>'Tabela 9.1'!D25+'tabela 9.2'!D24</f>
        <v>11820.6</v>
      </c>
      <c r="E24" s="16">
        <f>'Tabela 9.1'!E25+'tabela 9.2'!E24</f>
        <v>11820.6</v>
      </c>
      <c r="F24" s="16">
        <f>'Tabela 9.1'!F25+'tabela 9.2'!F24</f>
        <v>15760.8</v>
      </c>
      <c r="G24" s="16">
        <f>'Tabela 9.1'!G25+'tabela 9.2'!G24</f>
        <v>19701</v>
      </c>
      <c r="H24" s="16">
        <f>'Tabela 9.1'!H25+'tabela 9.2'!H24</f>
        <v>19701</v>
      </c>
      <c r="I24" s="16">
        <f>'Tabela 9.1'!I25+'tabela 9.2'!I24</f>
        <v>19701</v>
      </c>
      <c r="J24" s="16">
        <f>'Tabela 9.1'!J25+'tabela 9.2'!J24</f>
        <v>19701</v>
      </c>
      <c r="K24" s="16">
        <f>'Tabela 9.1'!K25+'tabela 9.2'!K24</f>
        <v>23641.200000000001</v>
      </c>
      <c r="L24" s="16">
        <f>'Tabela 9.1'!L25+'tabela 9.2'!L24</f>
        <v>19701</v>
      </c>
      <c r="M24" s="16">
        <f>'Tabela 9.1'!M25+'tabela 9.2'!M24</f>
        <v>11820.6</v>
      </c>
      <c r="N24" s="16">
        <f t="shared" si="3"/>
        <v>197010.00000000003</v>
      </c>
    </row>
    <row r="25" spans="1:14" x14ac:dyDescent="0.2">
      <c r="A25" s="1" t="s">
        <v>26</v>
      </c>
      <c r="B25" s="16">
        <f>'Tabela 9.1'!B26+'tabela 9.2'!B25</f>
        <v>12144.000000000002</v>
      </c>
      <c r="C25" s="16">
        <f>'Tabela 9.1'!C26+'tabela 9.2'!C25</f>
        <v>12144.000000000002</v>
      </c>
      <c r="D25" s="16">
        <f>'Tabela 9.1'!D26+'tabela 9.2'!D25</f>
        <v>12144.000000000002</v>
      </c>
      <c r="E25" s="16">
        <f>'Tabela 9.1'!E26+'tabela 9.2'!E25</f>
        <v>12144.000000000002</v>
      </c>
      <c r="F25" s="16">
        <f>'Tabela 9.1'!F26+'tabela 9.2'!F25</f>
        <v>16192.000000000002</v>
      </c>
      <c r="G25" s="16">
        <f>'Tabela 9.1'!G26+'tabela 9.2'!G25</f>
        <v>20240.000000000004</v>
      </c>
      <c r="H25" s="16">
        <f>'Tabela 9.1'!H26+'tabela 9.2'!H25</f>
        <v>20240.000000000004</v>
      </c>
      <c r="I25" s="16">
        <f>'Tabela 9.1'!I26+'tabela 9.2'!I25</f>
        <v>20240.000000000004</v>
      </c>
      <c r="J25" s="16">
        <f>'Tabela 9.1'!J26+'tabela 9.2'!J25</f>
        <v>20240.000000000004</v>
      </c>
      <c r="K25" s="16">
        <f>'Tabela 9.1'!K26+'tabela 9.2'!K25</f>
        <v>24288.000000000004</v>
      </c>
      <c r="L25" s="16">
        <f>'Tabela 9.1'!L26+'tabela 9.2'!L25</f>
        <v>20240.000000000004</v>
      </c>
      <c r="M25" s="16">
        <f>'Tabela 9.1'!M26+'tabela 9.2'!M25</f>
        <v>12144.000000000002</v>
      </c>
      <c r="N25" s="16">
        <f t="shared" si="3"/>
        <v>202400.00000000003</v>
      </c>
    </row>
    <row r="26" spans="1:14" x14ac:dyDescent="0.2">
      <c r="A26" s="1" t="s">
        <v>27</v>
      </c>
      <c r="B26" s="16">
        <f>'Tabela 9.1'!B27+'tabela 9.2'!B26</f>
        <v>5202</v>
      </c>
      <c r="C26" s="16">
        <f>'Tabela 9.1'!C27+'tabela 9.2'!C26</f>
        <v>5202</v>
      </c>
      <c r="D26" s="16">
        <f>'Tabela 9.1'!D27+'tabela 9.2'!D26</f>
        <v>5202</v>
      </c>
      <c r="E26" s="16">
        <f>'Tabela 9.1'!E27+'tabela 9.2'!E26</f>
        <v>5202</v>
      </c>
      <c r="F26" s="16">
        <f>'Tabela 9.1'!F27+'tabela 9.2'!F26</f>
        <v>6936</v>
      </c>
      <c r="G26" s="16">
        <f>'Tabela 9.1'!G27+'tabela 9.2'!G26</f>
        <v>8670</v>
      </c>
      <c r="H26" s="16">
        <f>'Tabela 9.1'!H27+'tabela 9.2'!H26</f>
        <v>8670</v>
      </c>
      <c r="I26" s="16">
        <f>'Tabela 9.1'!I27+'tabela 9.2'!I26</f>
        <v>8670</v>
      </c>
      <c r="J26" s="16">
        <f>'Tabela 9.1'!J27+'tabela 9.2'!J26</f>
        <v>8670</v>
      </c>
      <c r="K26" s="16">
        <f>'Tabela 9.1'!K27+'tabela 9.2'!K26</f>
        <v>10404</v>
      </c>
      <c r="L26" s="16">
        <f>'Tabela 9.1'!L27+'tabela 9.2'!L26</f>
        <v>8670</v>
      </c>
      <c r="M26" s="16">
        <f>'Tabela 9.1'!M27+'tabela 9.2'!M26</f>
        <v>5202</v>
      </c>
      <c r="N26" s="16">
        <f t="shared" si="3"/>
        <v>86700</v>
      </c>
    </row>
    <row r="27" spans="1:14" x14ac:dyDescent="0.2">
      <c r="A27" s="1" t="s">
        <v>28</v>
      </c>
      <c r="B27" s="16">
        <f>'Tabela 9.1'!B28+'tabela 9.2'!B27</f>
        <v>969.6</v>
      </c>
      <c r="C27" s="16">
        <f>'Tabela 9.1'!C28+'tabela 9.2'!C27</f>
        <v>969.6</v>
      </c>
      <c r="D27" s="16">
        <f>'Tabela 9.1'!D28+'tabela 9.2'!D27</f>
        <v>969.6</v>
      </c>
      <c r="E27" s="16">
        <f>'Tabela 9.1'!E28+'tabela 9.2'!E27</f>
        <v>969.6</v>
      </c>
      <c r="F27" s="16">
        <f>'Tabela 9.1'!F28+'tabela 9.2'!F27</f>
        <v>1292.8</v>
      </c>
      <c r="G27" s="16">
        <f>'Tabela 9.1'!G28+'tabela 9.2'!G27</f>
        <v>1616</v>
      </c>
      <c r="H27" s="16">
        <f>'Tabela 9.1'!H28+'tabela 9.2'!H27</f>
        <v>1616</v>
      </c>
      <c r="I27" s="16">
        <f>'Tabela 9.1'!I28+'tabela 9.2'!I27</f>
        <v>1616</v>
      </c>
      <c r="J27" s="16">
        <f>'Tabela 9.1'!J28+'tabela 9.2'!J27</f>
        <v>1616</v>
      </c>
      <c r="K27" s="16">
        <f>'Tabela 9.1'!K28+'tabela 9.2'!K27</f>
        <v>1939.2</v>
      </c>
      <c r="L27" s="16">
        <f>'Tabela 9.1'!L28+'tabela 9.2'!L27</f>
        <v>1616</v>
      </c>
      <c r="M27" s="16">
        <f>'Tabela 9.1'!M28+'tabela 9.2'!M27</f>
        <v>969.6</v>
      </c>
      <c r="N27" s="16">
        <f t="shared" si="3"/>
        <v>16160.000000000002</v>
      </c>
    </row>
    <row r="28" spans="1:14" x14ac:dyDescent="0.2">
      <c r="A28" s="1" t="s">
        <v>29</v>
      </c>
      <c r="B28" s="16">
        <f>'Tabela 9.1'!B29+'tabela 9.2'!B28</f>
        <v>960</v>
      </c>
      <c r="C28" s="16">
        <f>'Tabela 9.1'!C29+'tabela 9.2'!C28</f>
        <v>960</v>
      </c>
      <c r="D28" s="16">
        <f>'Tabela 9.1'!D29+'tabela 9.2'!D28</f>
        <v>960</v>
      </c>
      <c r="E28" s="16">
        <f>'Tabela 9.1'!E29+'tabela 9.2'!E28</f>
        <v>960</v>
      </c>
      <c r="F28" s="16">
        <f>'Tabela 9.1'!F29+'tabela 9.2'!F28</f>
        <v>1280</v>
      </c>
      <c r="G28" s="16">
        <f>'Tabela 9.1'!G29+'tabela 9.2'!G28</f>
        <v>1600</v>
      </c>
      <c r="H28" s="16">
        <f>'Tabela 9.1'!H29+'tabela 9.2'!H28</f>
        <v>1600</v>
      </c>
      <c r="I28" s="16">
        <f>'Tabela 9.1'!I29+'tabela 9.2'!I28</f>
        <v>1600</v>
      </c>
      <c r="J28" s="16">
        <f>'Tabela 9.1'!J29+'tabela 9.2'!J28</f>
        <v>1600</v>
      </c>
      <c r="K28" s="16">
        <f>'Tabela 9.1'!K29+'tabela 9.2'!K28</f>
        <v>1920</v>
      </c>
      <c r="L28" s="16">
        <f>'Tabela 9.1'!L29+'tabela 9.2'!L28</f>
        <v>1600</v>
      </c>
      <c r="M28" s="16">
        <f>'Tabela 9.1'!M29+'tabela 9.2'!M28</f>
        <v>960</v>
      </c>
      <c r="N28" s="16">
        <f t="shared" si="3"/>
        <v>16000</v>
      </c>
    </row>
    <row r="29" spans="1:14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 x14ac:dyDescent="0.2">
      <c r="A30" s="2"/>
    </row>
    <row r="36" spans="1:1" x14ac:dyDescent="0.2">
      <c r="A36" s="2"/>
    </row>
  </sheetData>
  <pageMargins left="0" right="0" top="0.39370078740157483" bottom="0.39370078740157483" header="0.11811023622047245" footer="0.11811023622047245"/>
  <pageSetup scale="8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0" sqref="B30"/>
    </sheetView>
  </sheetViews>
  <sheetFormatPr defaultColWidth="11.42578125" defaultRowHeight="12.75" x14ac:dyDescent="0.2"/>
  <cols>
    <col min="1" max="1" width="27" style="9" customWidth="1"/>
    <col min="2" max="13" width="8.140625" style="9" customWidth="1"/>
    <col min="14" max="14" width="9.7109375" style="9" customWidth="1"/>
    <col min="15" max="15" width="8.140625" style="6" customWidth="1"/>
    <col min="16" max="16" width="9.7109375" style="6" customWidth="1"/>
    <col min="17" max="16384" width="11.42578125" style="9"/>
  </cols>
  <sheetData>
    <row r="1" spans="1:16" x14ac:dyDescent="0.2">
      <c r="E1" s="9" t="s">
        <v>36</v>
      </c>
    </row>
    <row r="2" spans="1:16" x14ac:dyDescent="0.2">
      <c r="A2"/>
      <c r="N2" s="6" t="s">
        <v>94</v>
      </c>
      <c r="O2" s="6" t="s">
        <v>94</v>
      </c>
      <c r="P2" s="6" t="s">
        <v>37</v>
      </c>
    </row>
    <row r="3" spans="1:16" x14ac:dyDescent="0.2">
      <c r="A3" s="6"/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96</v>
      </c>
      <c r="O3" s="6" t="s">
        <v>95</v>
      </c>
      <c r="P3" s="6" t="s">
        <v>97</v>
      </c>
    </row>
    <row r="4" spans="1:1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s="6" customFormat="1" x14ac:dyDescent="0.2">
      <c r="A5" s="6" t="s">
        <v>38</v>
      </c>
      <c r="B5" s="15">
        <f>SUM(B6:B7)</f>
        <v>20333.333333333332</v>
      </c>
      <c r="C5" s="15">
        <f t="shared" ref="C5:M5" si="0">SUM(C6:C7)</f>
        <v>20333.333333333332</v>
      </c>
      <c r="D5" s="15">
        <f t="shared" si="0"/>
        <v>20333.333333333332</v>
      </c>
      <c r="E5" s="15">
        <f t="shared" si="0"/>
        <v>20333.333333333332</v>
      </c>
      <c r="F5" s="15">
        <f t="shared" si="0"/>
        <v>20333.333333333332</v>
      </c>
      <c r="G5" s="15">
        <f t="shared" si="0"/>
        <v>20333.333333333332</v>
      </c>
      <c r="H5" s="15">
        <f t="shared" si="0"/>
        <v>20333.333333333332</v>
      </c>
      <c r="I5" s="15">
        <f t="shared" si="0"/>
        <v>20333.333333333332</v>
      </c>
      <c r="J5" s="15">
        <f t="shared" si="0"/>
        <v>22633.333333333332</v>
      </c>
      <c r="K5" s="15">
        <f t="shared" si="0"/>
        <v>22633.333333333332</v>
      </c>
      <c r="L5" s="15">
        <f t="shared" si="0"/>
        <v>22633.333333333332</v>
      </c>
      <c r="M5" s="15">
        <f t="shared" si="0"/>
        <v>22633.333333333332</v>
      </c>
      <c r="N5" s="15">
        <f>SUM(B5:M5)</f>
        <v>253200.00000000003</v>
      </c>
      <c r="O5" s="15">
        <f>SUM(O6:O7)</f>
        <v>190000</v>
      </c>
      <c r="P5" s="15">
        <f>(N5/O5-1)*100</f>
        <v>33.263157894736864</v>
      </c>
    </row>
    <row r="6" spans="1:16" s="6" customFormat="1" x14ac:dyDescent="0.2">
      <c r="A6" s="6" t="s">
        <v>39</v>
      </c>
      <c r="B6" s="15">
        <f>($O6/12)*(1+($P6/100))</f>
        <v>15333.333333333332</v>
      </c>
      <c r="C6" s="15">
        <f t="shared" ref="C6:I6" si="1">($O6/12)*(1+($P6/100))</f>
        <v>15333.333333333332</v>
      </c>
      <c r="D6" s="15">
        <f t="shared" si="1"/>
        <v>15333.333333333332</v>
      </c>
      <c r="E6" s="15">
        <f t="shared" si="1"/>
        <v>15333.333333333332</v>
      </c>
      <c r="F6" s="15">
        <f t="shared" si="1"/>
        <v>15333.333333333332</v>
      </c>
      <c r="G6" s="15">
        <f t="shared" si="1"/>
        <v>15333.333333333332</v>
      </c>
      <c r="H6" s="15">
        <f t="shared" si="1"/>
        <v>15333.333333333332</v>
      </c>
      <c r="I6" s="15">
        <f t="shared" si="1"/>
        <v>15333.333333333332</v>
      </c>
      <c r="J6" s="15">
        <f>($O6/12)*(1+($P6/100))*1.15</f>
        <v>17633.333333333332</v>
      </c>
      <c r="K6" s="15">
        <f>($O6/12)*(1+($P6/100))*1.15</f>
        <v>17633.333333333332</v>
      </c>
      <c r="L6" s="15">
        <f>($O6/12)*(1+($P6/100))*1.15</f>
        <v>17633.333333333332</v>
      </c>
      <c r="M6" s="15">
        <f>($O6/12)*(1+($P6/100))*1.15</f>
        <v>17633.333333333332</v>
      </c>
      <c r="N6" s="15">
        <f>SUM(B6:M6)</f>
        <v>193200</v>
      </c>
      <c r="O6" s="6">
        <v>160000</v>
      </c>
      <c r="P6" s="6">
        <v>15</v>
      </c>
    </row>
    <row r="7" spans="1:16" s="6" customFormat="1" x14ac:dyDescent="0.2">
      <c r="A7" s="6" t="s">
        <v>40</v>
      </c>
      <c r="B7" s="15">
        <f t="shared" ref="B7:M7" si="2">($O7/12)*(1+($P7/100))</f>
        <v>5000</v>
      </c>
      <c r="C7" s="15">
        <f t="shared" si="2"/>
        <v>5000</v>
      </c>
      <c r="D7" s="15">
        <f t="shared" si="2"/>
        <v>5000</v>
      </c>
      <c r="E7" s="15">
        <f t="shared" si="2"/>
        <v>5000</v>
      </c>
      <c r="F7" s="15">
        <f t="shared" si="2"/>
        <v>5000</v>
      </c>
      <c r="G7" s="15">
        <f t="shared" si="2"/>
        <v>5000</v>
      </c>
      <c r="H7" s="15">
        <f t="shared" si="2"/>
        <v>5000</v>
      </c>
      <c r="I7" s="15">
        <f t="shared" si="2"/>
        <v>5000</v>
      </c>
      <c r="J7" s="15">
        <f t="shared" si="2"/>
        <v>5000</v>
      </c>
      <c r="K7" s="15">
        <f t="shared" si="2"/>
        <v>5000</v>
      </c>
      <c r="L7" s="15">
        <f t="shared" si="2"/>
        <v>5000</v>
      </c>
      <c r="M7" s="15">
        <f t="shared" si="2"/>
        <v>5000</v>
      </c>
      <c r="N7" s="15">
        <f>SUM(B7:M7)</f>
        <v>60000</v>
      </c>
      <c r="O7" s="6">
        <v>30000</v>
      </c>
      <c r="P7" s="6">
        <v>100</v>
      </c>
    </row>
    <row r="8" spans="1:16" s="6" customFormat="1" x14ac:dyDescent="0.2"/>
    <row r="9" spans="1:16" s="6" customFormat="1" x14ac:dyDescent="0.2">
      <c r="A9" s="6" t="s">
        <v>41</v>
      </c>
      <c r="B9" s="15">
        <f>SUM(B10:B15)</f>
        <v>10493.074999999999</v>
      </c>
      <c r="C9" s="15">
        <f t="shared" ref="C9:M9" si="3">SUM(C10:C15)</f>
        <v>10493.074999999999</v>
      </c>
      <c r="D9" s="15">
        <f t="shared" si="3"/>
        <v>10493.074999999999</v>
      </c>
      <c r="E9" s="15">
        <f t="shared" si="3"/>
        <v>10493.074999999999</v>
      </c>
      <c r="F9" s="15">
        <f t="shared" si="3"/>
        <v>10493.074999999999</v>
      </c>
      <c r="G9" s="15">
        <f t="shared" si="3"/>
        <v>10493.074999999999</v>
      </c>
      <c r="H9" s="15">
        <f t="shared" si="3"/>
        <v>10493.074999999999</v>
      </c>
      <c r="I9" s="15">
        <f t="shared" si="3"/>
        <v>10493.074999999999</v>
      </c>
      <c r="J9" s="15">
        <f t="shared" si="3"/>
        <v>11680.536249999999</v>
      </c>
      <c r="K9" s="15">
        <f t="shared" si="3"/>
        <v>11680.536249999999</v>
      </c>
      <c r="L9" s="15">
        <f t="shared" si="3"/>
        <v>11680.536249999999</v>
      </c>
      <c r="M9" s="15">
        <f t="shared" si="3"/>
        <v>11680.536249999999</v>
      </c>
      <c r="N9" s="15">
        <f t="shared" ref="N9:N15" si="4">SUM(B9:M9)</f>
        <v>130666.74500000001</v>
      </c>
      <c r="O9" s="15">
        <f>SUM(O10:O15)</f>
        <v>27000</v>
      </c>
      <c r="P9" s="15">
        <f>(N9/O9-1)*100</f>
        <v>383.95090740740744</v>
      </c>
    </row>
    <row r="10" spans="1:16" s="6" customFormat="1" x14ac:dyDescent="0.2">
      <c r="A10" s="6" t="s">
        <v>42</v>
      </c>
      <c r="B10" s="15">
        <f>(B6+B13+B14)*28%</f>
        <v>4769.1777777777779</v>
      </c>
      <c r="C10" s="15">
        <f t="shared" ref="C10:M10" si="5">(C6+C13+C14)*28%</f>
        <v>4769.1777777777779</v>
      </c>
      <c r="D10" s="15">
        <f t="shared" si="5"/>
        <v>4769.1777777777779</v>
      </c>
      <c r="E10" s="15">
        <f t="shared" si="5"/>
        <v>4769.1777777777779</v>
      </c>
      <c r="F10" s="15">
        <f t="shared" si="5"/>
        <v>4769.1777777777779</v>
      </c>
      <c r="G10" s="15">
        <f t="shared" si="5"/>
        <v>4769.1777777777779</v>
      </c>
      <c r="H10" s="15">
        <f t="shared" si="5"/>
        <v>4769.1777777777779</v>
      </c>
      <c r="I10" s="15">
        <f t="shared" si="5"/>
        <v>4769.1777777777779</v>
      </c>
      <c r="J10" s="15">
        <f t="shared" si="5"/>
        <v>5484.5544444444449</v>
      </c>
      <c r="K10" s="15">
        <f t="shared" si="5"/>
        <v>5484.5544444444449</v>
      </c>
      <c r="L10" s="15">
        <f t="shared" si="5"/>
        <v>5484.5544444444449</v>
      </c>
      <c r="M10" s="15">
        <f t="shared" si="5"/>
        <v>5484.5544444444449</v>
      </c>
      <c r="N10" s="15">
        <f t="shared" si="4"/>
        <v>60091.640000000007</v>
      </c>
      <c r="O10" s="17"/>
    </row>
    <row r="11" spans="1:16" s="6" customFormat="1" x14ac:dyDescent="0.2">
      <c r="A11" s="6" t="s">
        <v>43</v>
      </c>
      <c r="B11" s="15">
        <f>(B6+B14+B13)*8.5%</f>
        <v>1447.7861111111113</v>
      </c>
      <c r="C11" s="15">
        <f t="shared" ref="C11:M11" si="6">(C6+C14+C13)*8.5%</f>
        <v>1447.7861111111113</v>
      </c>
      <c r="D11" s="15">
        <f t="shared" si="6"/>
        <v>1447.7861111111113</v>
      </c>
      <c r="E11" s="15">
        <f t="shared" si="6"/>
        <v>1447.7861111111113</v>
      </c>
      <c r="F11" s="15">
        <f t="shared" si="6"/>
        <v>1447.7861111111113</v>
      </c>
      <c r="G11" s="15">
        <f t="shared" si="6"/>
        <v>1447.7861111111113</v>
      </c>
      <c r="H11" s="15">
        <f t="shared" si="6"/>
        <v>1447.7861111111113</v>
      </c>
      <c r="I11" s="15">
        <f t="shared" si="6"/>
        <v>1447.7861111111113</v>
      </c>
      <c r="J11" s="15">
        <f t="shared" si="6"/>
        <v>1664.954027777778</v>
      </c>
      <c r="K11" s="15">
        <f t="shared" si="6"/>
        <v>1664.954027777778</v>
      </c>
      <c r="L11" s="15">
        <f t="shared" si="6"/>
        <v>1664.954027777778</v>
      </c>
      <c r="M11" s="15">
        <f t="shared" si="6"/>
        <v>1664.954027777778</v>
      </c>
      <c r="N11" s="15">
        <f t="shared" si="4"/>
        <v>18242.105</v>
      </c>
      <c r="O11" s="17"/>
    </row>
    <row r="12" spans="1:16" s="6" customFormat="1" x14ac:dyDescent="0.2">
      <c r="A12" s="6" t="s">
        <v>44</v>
      </c>
      <c r="B12" s="15">
        <f>($O12/12)*(1+($P12/100))</f>
        <v>1959.9999999999998</v>
      </c>
      <c r="C12" s="15">
        <f t="shared" ref="C12:M12" si="7">($O12/12)*(1+($P12/100))</f>
        <v>1959.9999999999998</v>
      </c>
      <c r="D12" s="15">
        <f t="shared" si="7"/>
        <v>1959.9999999999998</v>
      </c>
      <c r="E12" s="15">
        <f t="shared" si="7"/>
        <v>1959.9999999999998</v>
      </c>
      <c r="F12" s="15">
        <f t="shared" si="7"/>
        <v>1959.9999999999998</v>
      </c>
      <c r="G12" s="15">
        <f t="shared" si="7"/>
        <v>1959.9999999999998</v>
      </c>
      <c r="H12" s="15">
        <f t="shared" si="7"/>
        <v>1959.9999999999998</v>
      </c>
      <c r="I12" s="15">
        <f t="shared" si="7"/>
        <v>1959.9999999999998</v>
      </c>
      <c r="J12" s="15">
        <f t="shared" si="7"/>
        <v>1959.9999999999998</v>
      </c>
      <c r="K12" s="15">
        <f t="shared" si="7"/>
        <v>1959.9999999999998</v>
      </c>
      <c r="L12" s="15">
        <f t="shared" si="7"/>
        <v>1959.9999999999998</v>
      </c>
      <c r="M12" s="15">
        <f t="shared" si="7"/>
        <v>1959.9999999999998</v>
      </c>
      <c r="N12" s="15">
        <f t="shared" si="4"/>
        <v>23519.999999999996</v>
      </c>
      <c r="O12" s="6">
        <v>19600</v>
      </c>
      <c r="P12" s="6">
        <v>20</v>
      </c>
    </row>
    <row r="13" spans="1:16" s="6" customFormat="1" x14ac:dyDescent="0.2">
      <c r="A13" s="6" t="s">
        <v>45</v>
      </c>
      <c r="B13" s="15">
        <f>(B6/12)*33%</f>
        <v>421.66666666666663</v>
      </c>
      <c r="C13" s="15">
        <f t="shared" ref="C13:M13" si="8">(C6/12)*33%</f>
        <v>421.66666666666663</v>
      </c>
      <c r="D13" s="15">
        <f t="shared" si="8"/>
        <v>421.66666666666663</v>
      </c>
      <c r="E13" s="15">
        <f t="shared" si="8"/>
        <v>421.66666666666663</v>
      </c>
      <c r="F13" s="15">
        <f t="shared" si="8"/>
        <v>421.66666666666663</v>
      </c>
      <c r="G13" s="15">
        <f t="shared" si="8"/>
        <v>421.66666666666663</v>
      </c>
      <c r="H13" s="15">
        <f t="shared" si="8"/>
        <v>421.66666666666663</v>
      </c>
      <c r="I13" s="15">
        <f t="shared" si="8"/>
        <v>421.66666666666663</v>
      </c>
      <c r="J13" s="15">
        <f t="shared" si="8"/>
        <v>484.91666666666663</v>
      </c>
      <c r="K13" s="15">
        <f t="shared" si="8"/>
        <v>484.91666666666663</v>
      </c>
      <c r="L13" s="15">
        <f t="shared" si="8"/>
        <v>484.91666666666663</v>
      </c>
      <c r="M13" s="15">
        <f t="shared" si="8"/>
        <v>484.91666666666663</v>
      </c>
      <c r="N13" s="15">
        <f t="shared" si="4"/>
        <v>5313</v>
      </c>
      <c r="O13" s="17"/>
    </row>
    <row r="14" spans="1:16" s="6" customFormat="1" x14ac:dyDescent="0.2">
      <c r="A14" s="6" t="s">
        <v>46</v>
      </c>
      <c r="B14" s="15">
        <f>(B6)/12</f>
        <v>1277.7777777777776</v>
      </c>
      <c r="C14" s="15">
        <f t="shared" ref="C14:M14" si="9">(C6)/12</f>
        <v>1277.7777777777776</v>
      </c>
      <c r="D14" s="15">
        <f t="shared" si="9"/>
        <v>1277.7777777777776</v>
      </c>
      <c r="E14" s="15">
        <f t="shared" si="9"/>
        <v>1277.7777777777776</v>
      </c>
      <c r="F14" s="15">
        <f t="shared" si="9"/>
        <v>1277.7777777777776</v>
      </c>
      <c r="G14" s="15">
        <f t="shared" si="9"/>
        <v>1277.7777777777776</v>
      </c>
      <c r="H14" s="15">
        <f t="shared" si="9"/>
        <v>1277.7777777777776</v>
      </c>
      <c r="I14" s="15">
        <f t="shared" si="9"/>
        <v>1277.7777777777776</v>
      </c>
      <c r="J14" s="15">
        <f t="shared" si="9"/>
        <v>1469.4444444444443</v>
      </c>
      <c r="K14" s="15">
        <f t="shared" si="9"/>
        <v>1469.4444444444443</v>
      </c>
      <c r="L14" s="15">
        <f t="shared" si="9"/>
        <v>1469.4444444444443</v>
      </c>
      <c r="M14" s="15">
        <f t="shared" si="9"/>
        <v>1469.4444444444443</v>
      </c>
      <c r="N14" s="15">
        <f t="shared" si="4"/>
        <v>16100</v>
      </c>
      <c r="O14" s="17"/>
    </row>
    <row r="15" spans="1:16" s="6" customFormat="1" x14ac:dyDescent="0.2">
      <c r="A15" s="6" t="s">
        <v>47</v>
      </c>
      <c r="B15" s="15">
        <f>($O15/12)*(1+($P15/100))</f>
        <v>616.66666666666663</v>
      </c>
      <c r="C15" s="15">
        <f t="shared" ref="C15:M15" si="10">($O15/12)*(1+($P15/100))</f>
        <v>616.66666666666663</v>
      </c>
      <c r="D15" s="15">
        <f t="shared" si="10"/>
        <v>616.66666666666663</v>
      </c>
      <c r="E15" s="15">
        <f t="shared" si="10"/>
        <v>616.66666666666663</v>
      </c>
      <c r="F15" s="15">
        <f t="shared" si="10"/>
        <v>616.66666666666663</v>
      </c>
      <c r="G15" s="15">
        <f t="shared" si="10"/>
        <v>616.66666666666663</v>
      </c>
      <c r="H15" s="15">
        <f t="shared" si="10"/>
        <v>616.66666666666663</v>
      </c>
      <c r="I15" s="15">
        <f t="shared" si="10"/>
        <v>616.66666666666663</v>
      </c>
      <c r="J15" s="15">
        <f t="shared" si="10"/>
        <v>616.66666666666663</v>
      </c>
      <c r="K15" s="15">
        <f t="shared" si="10"/>
        <v>616.66666666666663</v>
      </c>
      <c r="L15" s="15">
        <f t="shared" si="10"/>
        <v>616.66666666666663</v>
      </c>
      <c r="M15" s="15">
        <f t="shared" si="10"/>
        <v>616.66666666666663</v>
      </c>
      <c r="N15" s="15">
        <f t="shared" si="4"/>
        <v>7400.0000000000009</v>
      </c>
      <c r="O15" s="17">
        <v>7400</v>
      </c>
      <c r="P15" s="6">
        <v>0</v>
      </c>
    </row>
    <row r="16" spans="1:16" s="6" customFormat="1" x14ac:dyDescent="0.2"/>
    <row r="17" spans="1:16" s="6" customFormat="1" x14ac:dyDescent="0.2">
      <c r="A17" s="6" t="s">
        <v>48</v>
      </c>
      <c r="B17" s="15">
        <f>B18+B19+B20</f>
        <v>5870.5999999999995</v>
      </c>
      <c r="C17" s="15">
        <f t="shared" ref="C17:M17" si="11">C18+C19+C20</f>
        <v>5870.5999999999995</v>
      </c>
      <c r="D17" s="15">
        <f t="shared" si="11"/>
        <v>5870.5999999999995</v>
      </c>
      <c r="E17" s="15">
        <f t="shared" si="11"/>
        <v>5870.5999999999995</v>
      </c>
      <c r="F17" s="15">
        <f t="shared" si="11"/>
        <v>5870.5999999999995</v>
      </c>
      <c r="G17" s="15">
        <f t="shared" si="11"/>
        <v>5870.5999999999995</v>
      </c>
      <c r="H17" s="15">
        <f t="shared" si="11"/>
        <v>5870.5999999999995</v>
      </c>
      <c r="I17" s="15">
        <f t="shared" si="11"/>
        <v>5870.5999999999995</v>
      </c>
      <c r="J17" s="15">
        <f t="shared" si="11"/>
        <v>5870.5999999999995</v>
      </c>
      <c r="K17" s="15">
        <f t="shared" si="11"/>
        <v>5870.5999999999995</v>
      </c>
      <c r="L17" s="15">
        <f t="shared" si="11"/>
        <v>5870.5999999999995</v>
      </c>
      <c r="M17" s="15">
        <f t="shared" si="11"/>
        <v>5870.5999999999995</v>
      </c>
      <c r="N17" s="15">
        <f>SUM(B17:M17)</f>
        <v>70447.199999999997</v>
      </c>
      <c r="O17" s="15">
        <f>O18+O19</f>
        <v>43948</v>
      </c>
      <c r="P17" s="15">
        <f>(N17/O17-1)*100</f>
        <v>60.296714298716658</v>
      </c>
    </row>
    <row r="18" spans="1:16" s="6" customFormat="1" x14ac:dyDescent="0.2">
      <c r="A18" s="6" t="s">
        <v>49</v>
      </c>
      <c r="B18" s="15">
        <f>($O18/12)*(1+($P18/100))</f>
        <v>4104.3999999999996</v>
      </c>
      <c r="C18" s="15">
        <f t="shared" ref="C18:M19" si="12">($O18/12)*(1+($P18/100))</f>
        <v>4104.3999999999996</v>
      </c>
      <c r="D18" s="15">
        <f t="shared" si="12"/>
        <v>4104.3999999999996</v>
      </c>
      <c r="E18" s="15">
        <f t="shared" si="12"/>
        <v>4104.3999999999996</v>
      </c>
      <c r="F18" s="15">
        <f t="shared" si="12"/>
        <v>4104.3999999999996</v>
      </c>
      <c r="G18" s="15">
        <f t="shared" si="12"/>
        <v>4104.3999999999996</v>
      </c>
      <c r="H18" s="15">
        <f t="shared" si="12"/>
        <v>4104.3999999999996</v>
      </c>
      <c r="I18" s="15">
        <f t="shared" si="12"/>
        <v>4104.3999999999996</v>
      </c>
      <c r="J18" s="15">
        <f t="shared" si="12"/>
        <v>4104.3999999999996</v>
      </c>
      <c r="K18" s="15">
        <f t="shared" si="12"/>
        <v>4104.3999999999996</v>
      </c>
      <c r="L18" s="15">
        <f t="shared" si="12"/>
        <v>4104.3999999999996</v>
      </c>
      <c r="M18" s="15">
        <f t="shared" si="12"/>
        <v>4104.3999999999996</v>
      </c>
      <c r="N18" s="15">
        <f>SUM(B18:M18)</f>
        <v>49252.80000000001</v>
      </c>
      <c r="O18" s="6">
        <f>30783/9*12</f>
        <v>41044</v>
      </c>
      <c r="P18" s="6">
        <v>20</v>
      </c>
    </row>
    <row r="19" spans="1:16" s="6" customFormat="1" x14ac:dyDescent="0.2">
      <c r="A19" s="6" t="s">
        <v>50</v>
      </c>
      <c r="B19" s="15">
        <f>($O19/12)*(1+($P19/100))</f>
        <v>266.20000000000005</v>
      </c>
      <c r="C19" s="15">
        <f t="shared" si="12"/>
        <v>266.20000000000005</v>
      </c>
      <c r="D19" s="15">
        <f t="shared" si="12"/>
        <v>266.20000000000005</v>
      </c>
      <c r="E19" s="15">
        <f t="shared" si="12"/>
        <v>266.20000000000005</v>
      </c>
      <c r="F19" s="15">
        <f t="shared" si="12"/>
        <v>266.20000000000005</v>
      </c>
      <c r="G19" s="15">
        <f t="shared" si="12"/>
        <v>266.20000000000005</v>
      </c>
      <c r="H19" s="15">
        <f t="shared" si="12"/>
        <v>266.20000000000005</v>
      </c>
      <c r="I19" s="15">
        <f t="shared" si="12"/>
        <v>266.20000000000005</v>
      </c>
      <c r="J19" s="15">
        <f t="shared" si="12"/>
        <v>266.20000000000005</v>
      </c>
      <c r="K19" s="15">
        <f t="shared" si="12"/>
        <v>266.20000000000005</v>
      </c>
      <c r="L19" s="15">
        <f t="shared" si="12"/>
        <v>266.20000000000005</v>
      </c>
      <c r="M19" s="15">
        <f t="shared" si="12"/>
        <v>266.20000000000005</v>
      </c>
      <c r="N19" s="15">
        <f>SUM(B19:M19)</f>
        <v>3194.3999999999996</v>
      </c>
      <c r="O19" s="6">
        <f>2178/9*12</f>
        <v>2904</v>
      </c>
      <c r="P19" s="6">
        <v>10</v>
      </c>
    </row>
    <row r="20" spans="1:16" s="6" customFormat="1" x14ac:dyDescent="0.2">
      <c r="A20" s="6" t="s">
        <v>51</v>
      </c>
      <c r="B20" s="15">
        <f>($O20/12)*(1+($P20/100))</f>
        <v>1500</v>
      </c>
      <c r="C20" s="15">
        <f t="shared" ref="C20:M20" si="13">($O20/12)*(1+($P20/100))</f>
        <v>1500</v>
      </c>
      <c r="D20" s="15">
        <f t="shared" si="13"/>
        <v>1500</v>
      </c>
      <c r="E20" s="15">
        <f t="shared" si="13"/>
        <v>1500</v>
      </c>
      <c r="F20" s="15">
        <f t="shared" si="13"/>
        <v>1500</v>
      </c>
      <c r="G20" s="15">
        <f t="shared" si="13"/>
        <v>1500</v>
      </c>
      <c r="H20" s="15">
        <f t="shared" si="13"/>
        <v>1500</v>
      </c>
      <c r="I20" s="15">
        <f t="shared" si="13"/>
        <v>1500</v>
      </c>
      <c r="J20" s="15">
        <f t="shared" si="13"/>
        <v>1500</v>
      </c>
      <c r="K20" s="15">
        <f t="shared" si="13"/>
        <v>1500</v>
      </c>
      <c r="L20" s="15">
        <f t="shared" si="13"/>
        <v>1500</v>
      </c>
      <c r="M20" s="15">
        <f t="shared" si="13"/>
        <v>1500</v>
      </c>
      <c r="N20" s="15">
        <f>SUM(B20:M20)</f>
        <v>18000</v>
      </c>
      <c r="O20" s="6">
        <v>18000</v>
      </c>
      <c r="P20" s="6">
        <v>0</v>
      </c>
    </row>
    <row r="21" spans="1:16" s="6" customFormat="1" x14ac:dyDescent="0.2"/>
    <row r="22" spans="1:16" s="6" customFormat="1" x14ac:dyDescent="0.2">
      <c r="A22" s="6" t="s">
        <v>52</v>
      </c>
      <c r="B22" s="15">
        <f>B17+B9+B5</f>
        <v>36697.008333333331</v>
      </c>
      <c r="C22" s="15">
        <f t="shared" ref="C22:O22" si="14">C17+C9+C5</f>
        <v>36697.008333333331</v>
      </c>
      <c r="D22" s="15">
        <f t="shared" si="14"/>
        <v>36697.008333333331</v>
      </c>
      <c r="E22" s="15">
        <f t="shared" si="14"/>
        <v>36697.008333333331</v>
      </c>
      <c r="F22" s="15">
        <f t="shared" si="14"/>
        <v>36697.008333333331</v>
      </c>
      <c r="G22" s="15">
        <f t="shared" si="14"/>
        <v>36697.008333333331</v>
      </c>
      <c r="H22" s="15">
        <f t="shared" si="14"/>
        <v>36697.008333333331</v>
      </c>
      <c r="I22" s="15">
        <f t="shared" si="14"/>
        <v>36697.008333333331</v>
      </c>
      <c r="J22" s="15">
        <f t="shared" si="14"/>
        <v>40184.469583333332</v>
      </c>
      <c r="K22" s="15">
        <f t="shared" si="14"/>
        <v>40184.469583333332</v>
      </c>
      <c r="L22" s="15">
        <f t="shared" si="14"/>
        <v>40184.469583333332</v>
      </c>
      <c r="M22" s="15">
        <f t="shared" si="14"/>
        <v>40184.469583333332</v>
      </c>
      <c r="N22" s="15">
        <f t="shared" si="14"/>
        <v>454313.94500000007</v>
      </c>
      <c r="O22" s="15">
        <f t="shared" si="14"/>
        <v>260948</v>
      </c>
      <c r="P22" s="15">
        <f>(N22/O22-1)*100</f>
        <v>74.101332449376912</v>
      </c>
    </row>
    <row r="23" spans="1:16" s="6" customFormat="1" x14ac:dyDescent="0.2"/>
    <row r="24" spans="1:16" s="6" customFormat="1" x14ac:dyDescent="0.2">
      <c r="A24" s="6" t="s">
        <v>53</v>
      </c>
      <c r="B24" s="15">
        <f>($O24/12)*(1+($P24/100))</f>
        <v>7091.6666666666661</v>
      </c>
      <c r="C24" s="15">
        <f t="shared" ref="C24:M24" si="15">($O24/12)*(1+($P24/100))</f>
        <v>7091.6666666666661</v>
      </c>
      <c r="D24" s="15">
        <f t="shared" si="15"/>
        <v>7091.6666666666661</v>
      </c>
      <c r="E24" s="15">
        <f t="shared" si="15"/>
        <v>7091.6666666666661</v>
      </c>
      <c r="F24" s="15">
        <f t="shared" si="15"/>
        <v>7091.6666666666661</v>
      </c>
      <c r="G24" s="15">
        <f t="shared" si="15"/>
        <v>7091.6666666666661</v>
      </c>
      <c r="H24" s="15">
        <f t="shared" si="15"/>
        <v>7091.6666666666661</v>
      </c>
      <c r="I24" s="15">
        <f t="shared" si="15"/>
        <v>7091.6666666666661</v>
      </c>
      <c r="J24" s="15">
        <f t="shared" si="15"/>
        <v>7091.6666666666661</v>
      </c>
      <c r="K24" s="15">
        <f t="shared" si="15"/>
        <v>7091.6666666666661</v>
      </c>
      <c r="L24" s="15">
        <f t="shared" si="15"/>
        <v>7091.6666666666661</v>
      </c>
      <c r="M24" s="15">
        <f t="shared" si="15"/>
        <v>7091.6666666666661</v>
      </c>
      <c r="N24" s="15">
        <f t="shared" ref="N24:N36" si="16">SUM(B24:M24)</f>
        <v>85100</v>
      </c>
      <c r="O24" s="6">
        <v>74000</v>
      </c>
      <c r="P24" s="6">
        <v>15</v>
      </c>
    </row>
    <row r="25" spans="1:16" s="6" customFormat="1" x14ac:dyDescent="0.2"/>
    <row r="26" spans="1:16" s="6" customFormat="1" x14ac:dyDescent="0.2">
      <c r="A26" s="6" t="s">
        <v>54</v>
      </c>
      <c r="B26" s="15">
        <f>($O26/12)*(1+($P26/100))</f>
        <v>5845.9611111111108</v>
      </c>
      <c r="C26" s="15">
        <f t="shared" ref="C26:M26" si="17">($O26/12)*(1+($P26/100))</f>
        <v>5845.9611111111108</v>
      </c>
      <c r="D26" s="15">
        <f t="shared" si="17"/>
        <v>5845.9611111111108</v>
      </c>
      <c r="E26" s="15">
        <f t="shared" si="17"/>
        <v>5845.9611111111108</v>
      </c>
      <c r="F26" s="15">
        <f t="shared" si="17"/>
        <v>5845.9611111111108</v>
      </c>
      <c r="G26" s="15">
        <f t="shared" si="17"/>
        <v>5845.9611111111108</v>
      </c>
      <c r="H26" s="15">
        <f t="shared" si="17"/>
        <v>5845.9611111111108</v>
      </c>
      <c r="I26" s="15">
        <f t="shared" si="17"/>
        <v>5845.9611111111108</v>
      </c>
      <c r="J26" s="15">
        <f t="shared" si="17"/>
        <v>5845.9611111111108</v>
      </c>
      <c r="K26" s="15">
        <f t="shared" si="17"/>
        <v>5845.9611111111108</v>
      </c>
      <c r="L26" s="15">
        <f t="shared" si="17"/>
        <v>5845.9611111111108</v>
      </c>
      <c r="M26" s="15">
        <f t="shared" si="17"/>
        <v>5845.9611111111108</v>
      </c>
      <c r="N26" s="15">
        <f t="shared" si="16"/>
        <v>70151.533333333311</v>
      </c>
      <c r="O26" s="6">
        <f>45751/9*12</f>
        <v>61001.333333333328</v>
      </c>
      <c r="P26" s="6">
        <v>15</v>
      </c>
    </row>
    <row r="27" spans="1:16" s="6" customFormat="1" x14ac:dyDescent="0.2"/>
    <row r="28" spans="1:16" s="6" customFormat="1" x14ac:dyDescent="0.2">
      <c r="A28" s="6" t="s">
        <v>55</v>
      </c>
      <c r="B28" s="15">
        <f>($O28/12)*(1+($P28/100))</f>
        <v>1452.1333333333332</v>
      </c>
      <c r="C28" s="15">
        <f t="shared" ref="C28:M28" si="18">($O28/12)*(1+($P28/100))</f>
        <v>1452.1333333333332</v>
      </c>
      <c r="D28" s="15">
        <f t="shared" si="18"/>
        <v>1452.1333333333332</v>
      </c>
      <c r="E28" s="15">
        <f t="shared" si="18"/>
        <v>1452.1333333333332</v>
      </c>
      <c r="F28" s="15">
        <f t="shared" si="18"/>
        <v>1452.1333333333332</v>
      </c>
      <c r="G28" s="15">
        <f t="shared" si="18"/>
        <v>1452.1333333333332</v>
      </c>
      <c r="H28" s="15">
        <f t="shared" si="18"/>
        <v>1452.1333333333332</v>
      </c>
      <c r="I28" s="15">
        <f t="shared" si="18"/>
        <v>1452.1333333333332</v>
      </c>
      <c r="J28" s="15">
        <f t="shared" si="18"/>
        <v>1452.1333333333332</v>
      </c>
      <c r="K28" s="15">
        <f t="shared" si="18"/>
        <v>1452.1333333333332</v>
      </c>
      <c r="L28" s="15">
        <f t="shared" si="18"/>
        <v>1452.1333333333332</v>
      </c>
      <c r="M28" s="15">
        <f t="shared" si="18"/>
        <v>1452.1333333333332</v>
      </c>
      <c r="N28" s="15">
        <f t="shared" si="16"/>
        <v>17425.599999999999</v>
      </c>
      <c r="O28" s="6">
        <f>10891/9*12</f>
        <v>14521.333333333332</v>
      </c>
      <c r="P28" s="6">
        <v>20</v>
      </c>
    </row>
    <row r="29" spans="1:16" s="6" customFormat="1" x14ac:dyDescent="0.2"/>
    <row r="30" spans="1:16" s="6" customFormat="1" x14ac:dyDescent="0.2">
      <c r="A30" s="6" t="s">
        <v>56</v>
      </c>
      <c r="B30" s="15">
        <f t="shared" ref="B30:M30" si="19">($O30/12)*(1+($P30/100))</f>
        <v>5994.3055555555557</v>
      </c>
      <c r="C30" s="15">
        <f t="shared" si="19"/>
        <v>5994.3055555555557</v>
      </c>
      <c r="D30" s="15">
        <f t="shared" si="19"/>
        <v>5994.3055555555557</v>
      </c>
      <c r="E30" s="15">
        <f t="shared" si="19"/>
        <v>5994.3055555555557</v>
      </c>
      <c r="F30" s="15">
        <f t="shared" si="19"/>
        <v>5994.3055555555557</v>
      </c>
      <c r="G30" s="15">
        <f t="shared" si="19"/>
        <v>5994.3055555555557</v>
      </c>
      <c r="H30" s="15">
        <f t="shared" si="19"/>
        <v>5994.3055555555557</v>
      </c>
      <c r="I30" s="15">
        <f t="shared" si="19"/>
        <v>5994.3055555555557</v>
      </c>
      <c r="J30" s="15">
        <f t="shared" si="19"/>
        <v>5994.3055555555557</v>
      </c>
      <c r="K30" s="15">
        <f t="shared" si="19"/>
        <v>5994.3055555555557</v>
      </c>
      <c r="L30" s="15">
        <f t="shared" si="19"/>
        <v>5994.3055555555557</v>
      </c>
      <c r="M30" s="15">
        <f t="shared" si="19"/>
        <v>5994.3055555555557</v>
      </c>
      <c r="N30" s="15">
        <f t="shared" si="16"/>
        <v>71931.666666666672</v>
      </c>
      <c r="O30" s="6">
        <f>43159/9*12</f>
        <v>57545.333333333328</v>
      </c>
      <c r="P30" s="6">
        <v>25</v>
      </c>
    </row>
    <row r="31" spans="1:16" s="6" customFormat="1" x14ac:dyDescent="0.2"/>
    <row r="32" spans="1:16" s="6" customFormat="1" x14ac:dyDescent="0.2">
      <c r="A32" s="6" t="s">
        <v>57</v>
      </c>
      <c r="B32" s="15">
        <f>($O32/12)*(1+($P32/100))</f>
        <v>4795.7333333333327</v>
      </c>
      <c r="C32" s="15">
        <f t="shared" ref="C32:M32" si="20">($O32/12)*(1+($P32/100))</f>
        <v>4795.7333333333327</v>
      </c>
      <c r="D32" s="15">
        <f t="shared" si="20"/>
        <v>4795.7333333333327</v>
      </c>
      <c r="E32" s="15">
        <f t="shared" si="20"/>
        <v>4795.7333333333327</v>
      </c>
      <c r="F32" s="15">
        <f t="shared" si="20"/>
        <v>4795.7333333333327</v>
      </c>
      <c r="G32" s="15">
        <f t="shared" si="20"/>
        <v>4795.7333333333327</v>
      </c>
      <c r="H32" s="15">
        <f t="shared" si="20"/>
        <v>4795.7333333333327</v>
      </c>
      <c r="I32" s="15">
        <f t="shared" si="20"/>
        <v>4795.7333333333327</v>
      </c>
      <c r="J32" s="15">
        <f t="shared" si="20"/>
        <v>4795.7333333333327</v>
      </c>
      <c r="K32" s="15">
        <f t="shared" si="20"/>
        <v>4795.7333333333327</v>
      </c>
      <c r="L32" s="15">
        <f t="shared" si="20"/>
        <v>4795.7333333333327</v>
      </c>
      <c r="M32" s="15">
        <f t="shared" si="20"/>
        <v>4795.7333333333327</v>
      </c>
      <c r="N32" s="15">
        <f t="shared" si="16"/>
        <v>57548.799999999981</v>
      </c>
      <c r="O32" s="6">
        <f>35968/9*12</f>
        <v>47957.333333333328</v>
      </c>
      <c r="P32" s="6">
        <v>20</v>
      </c>
    </row>
    <row r="33" spans="1:16" s="6" customFormat="1" x14ac:dyDescent="0.2"/>
    <row r="34" spans="1:16" s="6" customFormat="1" x14ac:dyDescent="0.2">
      <c r="A34" s="6" t="s">
        <v>58</v>
      </c>
      <c r="B34" s="15">
        <f>($O34/12)*(1+($P34/100))</f>
        <v>3591.8666666666663</v>
      </c>
      <c r="C34" s="15">
        <f t="shared" ref="C34:M34" si="21">($O34/12)*(1+($P34/100))</f>
        <v>3591.8666666666663</v>
      </c>
      <c r="D34" s="15">
        <f t="shared" si="21"/>
        <v>3591.8666666666663</v>
      </c>
      <c r="E34" s="15">
        <f t="shared" si="21"/>
        <v>3591.8666666666663</v>
      </c>
      <c r="F34" s="15">
        <f t="shared" si="21"/>
        <v>3591.8666666666663</v>
      </c>
      <c r="G34" s="15">
        <f t="shared" si="21"/>
        <v>3591.8666666666663</v>
      </c>
      <c r="H34" s="15">
        <f t="shared" si="21"/>
        <v>3591.8666666666663</v>
      </c>
      <c r="I34" s="15">
        <f t="shared" si="21"/>
        <v>3591.8666666666663</v>
      </c>
      <c r="J34" s="15">
        <f t="shared" si="21"/>
        <v>3591.8666666666663</v>
      </c>
      <c r="K34" s="15">
        <f t="shared" si="21"/>
        <v>3591.8666666666663</v>
      </c>
      <c r="L34" s="15">
        <f t="shared" si="21"/>
        <v>3591.8666666666663</v>
      </c>
      <c r="M34" s="15">
        <f t="shared" si="21"/>
        <v>3591.8666666666663</v>
      </c>
      <c r="N34" s="15">
        <f t="shared" si="16"/>
        <v>43102.399999999994</v>
      </c>
      <c r="O34" s="6">
        <f>26939/9*12</f>
        <v>35918.666666666664</v>
      </c>
      <c r="P34" s="6">
        <v>20</v>
      </c>
    </row>
    <row r="35" spans="1:16" s="6" customFormat="1" x14ac:dyDescent="0.2"/>
    <row r="36" spans="1:16" s="6" customFormat="1" x14ac:dyDescent="0.2">
      <c r="A36" s="6" t="s">
        <v>59</v>
      </c>
      <c r="B36" s="15">
        <f>($O36/12)*(1+($P36/100))</f>
        <v>10900.466666666665</v>
      </c>
      <c r="C36" s="15">
        <f t="shared" ref="C36:M36" si="22">($O36/12)*(1+($P36/100))</f>
        <v>10900.466666666665</v>
      </c>
      <c r="D36" s="15">
        <f t="shared" si="22"/>
        <v>10900.466666666665</v>
      </c>
      <c r="E36" s="15">
        <f t="shared" si="22"/>
        <v>10900.466666666665</v>
      </c>
      <c r="F36" s="15">
        <f t="shared" si="22"/>
        <v>10900.466666666665</v>
      </c>
      <c r="G36" s="15">
        <f t="shared" si="22"/>
        <v>10900.466666666665</v>
      </c>
      <c r="H36" s="15">
        <f t="shared" si="22"/>
        <v>10900.466666666665</v>
      </c>
      <c r="I36" s="15">
        <f t="shared" si="22"/>
        <v>10900.466666666665</v>
      </c>
      <c r="J36" s="15">
        <f t="shared" si="22"/>
        <v>10900.466666666665</v>
      </c>
      <c r="K36" s="15">
        <f t="shared" si="22"/>
        <v>10900.466666666665</v>
      </c>
      <c r="L36" s="15">
        <f t="shared" si="22"/>
        <v>10900.466666666665</v>
      </c>
      <c r="M36" s="15">
        <f t="shared" si="22"/>
        <v>10900.466666666665</v>
      </c>
      <c r="N36" s="15">
        <f t="shared" si="16"/>
        <v>130805.59999999996</v>
      </c>
      <c r="O36" s="6">
        <f>85308/9*12</f>
        <v>113744</v>
      </c>
      <c r="P36" s="6">
        <v>15</v>
      </c>
    </row>
    <row r="37" spans="1:16" s="6" customFormat="1" x14ac:dyDescent="0.2"/>
    <row r="38" spans="1:16" s="6" customFormat="1" x14ac:dyDescent="0.2">
      <c r="A38" s="6" t="s">
        <v>60</v>
      </c>
      <c r="B38" s="15">
        <f>B24+B26+B28+B30+B32+B34+B36</f>
        <v>39672.133333333331</v>
      </c>
      <c r="C38" s="15">
        <f t="shared" ref="C38:O38" si="23">C24+C26+C28+C30+C32+C34+C36</f>
        <v>39672.133333333331</v>
      </c>
      <c r="D38" s="15">
        <f t="shared" si="23"/>
        <v>39672.133333333331</v>
      </c>
      <c r="E38" s="15">
        <f t="shared" si="23"/>
        <v>39672.133333333331</v>
      </c>
      <c r="F38" s="15">
        <f t="shared" si="23"/>
        <v>39672.133333333331</v>
      </c>
      <c r="G38" s="15">
        <f t="shared" si="23"/>
        <v>39672.133333333331</v>
      </c>
      <c r="H38" s="15">
        <f t="shared" si="23"/>
        <v>39672.133333333331</v>
      </c>
      <c r="I38" s="15">
        <f t="shared" si="23"/>
        <v>39672.133333333331</v>
      </c>
      <c r="J38" s="15">
        <f t="shared" si="23"/>
        <v>39672.133333333331</v>
      </c>
      <c r="K38" s="15">
        <f t="shared" si="23"/>
        <v>39672.133333333331</v>
      </c>
      <c r="L38" s="15">
        <f t="shared" si="23"/>
        <v>39672.133333333331</v>
      </c>
      <c r="M38" s="15">
        <f t="shared" si="23"/>
        <v>39672.133333333331</v>
      </c>
      <c r="N38" s="15">
        <f t="shared" si="23"/>
        <v>476065.6</v>
      </c>
      <c r="O38" s="15">
        <f t="shared" si="23"/>
        <v>404688</v>
      </c>
      <c r="P38" s="15">
        <f>(N38/O38-1)*100</f>
        <v>17.637686316372104</v>
      </c>
    </row>
    <row r="39" spans="1:16" s="6" customFormat="1" x14ac:dyDescent="0.2"/>
    <row r="40" spans="1:16" s="6" customFormat="1" x14ac:dyDescent="0.2">
      <c r="A40" s="6" t="s">
        <v>61</v>
      </c>
      <c r="B40" s="15">
        <f>($O40/12)*(1+($P40/100))</f>
        <v>4801</v>
      </c>
      <c r="C40" s="15">
        <f t="shared" ref="C40:M40" si="24">($O40/12)*(1+($P40/100))</f>
        <v>4801</v>
      </c>
      <c r="D40" s="15">
        <f t="shared" si="24"/>
        <v>4801</v>
      </c>
      <c r="E40" s="15">
        <f t="shared" si="24"/>
        <v>4801</v>
      </c>
      <c r="F40" s="15">
        <f t="shared" si="24"/>
        <v>4801</v>
      </c>
      <c r="G40" s="15">
        <f t="shared" si="24"/>
        <v>4801</v>
      </c>
      <c r="H40" s="15">
        <f t="shared" si="24"/>
        <v>4801</v>
      </c>
      <c r="I40" s="15">
        <f t="shared" si="24"/>
        <v>4801</v>
      </c>
      <c r="J40" s="15">
        <f t="shared" si="24"/>
        <v>4801</v>
      </c>
      <c r="K40" s="15">
        <f t="shared" si="24"/>
        <v>4801</v>
      </c>
      <c r="L40" s="15">
        <f t="shared" si="24"/>
        <v>4801</v>
      </c>
      <c r="M40" s="15">
        <f t="shared" si="24"/>
        <v>4801</v>
      </c>
      <c r="N40" s="15">
        <f>SUM(B40:M40)</f>
        <v>57612</v>
      </c>
      <c r="O40" s="6">
        <f>43209/9*12</f>
        <v>57612</v>
      </c>
      <c r="P40" s="6">
        <v>0</v>
      </c>
    </row>
    <row r="41" spans="1:16" s="6" customFormat="1" x14ac:dyDescent="0.2"/>
    <row r="42" spans="1:16" s="6" customFormat="1" x14ac:dyDescent="0.2">
      <c r="A42" s="6" t="s">
        <v>62</v>
      </c>
      <c r="B42" s="15">
        <f>B22+B38+B40</f>
        <v>81170.141666666663</v>
      </c>
      <c r="C42" s="15">
        <f t="shared" ref="C42:O42" si="25">C22+C38+C40</f>
        <v>81170.141666666663</v>
      </c>
      <c r="D42" s="15">
        <f t="shared" si="25"/>
        <v>81170.141666666663</v>
      </c>
      <c r="E42" s="15">
        <f t="shared" si="25"/>
        <v>81170.141666666663</v>
      </c>
      <c r="F42" s="15">
        <f t="shared" si="25"/>
        <v>81170.141666666663</v>
      </c>
      <c r="G42" s="15">
        <f t="shared" si="25"/>
        <v>81170.141666666663</v>
      </c>
      <c r="H42" s="15">
        <f t="shared" si="25"/>
        <v>81170.141666666663</v>
      </c>
      <c r="I42" s="15">
        <f t="shared" si="25"/>
        <v>81170.141666666663</v>
      </c>
      <c r="J42" s="15">
        <f t="shared" si="25"/>
        <v>84657.602916666656</v>
      </c>
      <c r="K42" s="15">
        <f t="shared" si="25"/>
        <v>84657.602916666656</v>
      </c>
      <c r="L42" s="15">
        <f t="shared" si="25"/>
        <v>84657.602916666656</v>
      </c>
      <c r="M42" s="15">
        <f t="shared" si="25"/>
        <v>84657.602916666656</v>
      </c>
      <c r="N42" s="15">
        <f>SUM(B42:M42)</f>
        <v>987991.54499999993</v>
      </c>
      <c r="O42" s="15">
        <f t="shared" si="25"/>
        <v>723248</v>
      </c>
      <c r="P42" s="15">
        <f>(N42/O42-1)*100</f>
        <v>36.604808447448178</v>
      </c>
    </row>
    <row r="43" spans="1:16" s="6" customFormat="1" x14ac:dyDescent="0.2"/>
    <row r="44" spans="1:16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6" hidden="1" x14ac:dyDescent="0.2">
      <c r="A45" s="6" t="s">
        <v>63</v>
      </c>
      <c r="B45" s="6">
        <f>B46+B47</f>
        <v>5110.1333333333332</v>
      </c>
      <c r="C45" s="6">
        <f t="shared" ref="C45:M45" si="26">C46+C47</f>
        <v>5110.1333333333332</v>
      </c>
      <c r="D45" s="6">
        <f t="shared" si="26"/>
        <v>5110.1333333333332</v>
      </c>
      <c r="E45" s="6">
        <f t="shared" si="26"/>
        <v>5110.1333333333332</v>
      </c>
      <c r="F45" s="6">
        <f t="shared" si="26"/>
        <v>5110.1333333333332</v>
      </c>
      <c r="G45" s="6">
        <f t="shared" si="26"/>
        <v>5110.1333333333332</v>
      </c>
      <c r="H45" s="6">
        <f t="shared" si="26"/>
        <v>5110.1333333333332</v>
      </c>
      <c r="I45" s="6">
        <f t="shared" si="26"/>
        <v>5110.1333333333332</v>
      </c>
      <c r="J45" s="6">
        <f t="shared" si="26"/>
        <v>5110.1333333333332</v>
      </c>
      <c r="K45" s="6">
        <f t="shared" si="26"/>
        <v>5110.1333333333332</v>
      </c>
      <c r="L45" s="6">
        <f t="shared" si="26"/>
        <v>5110.1333333333332</v>
      </c>
      <c r="M45" s="6">
        <f t="shared" si="26"/>
        <v>5110.1333333333332</v>
      </c>
      <c r="N45" s="6">
        <f>SUM(B45:M45)</f>
        <v>61321.599999999984</v>
      </c>
      <c r="O45" s="6">
        <f>SUM(O46:O47)</f>
        <v>49341.333333333328</v>
      </c>
      <c r="P45" s="6">
        <f>(N45/O45-1)*100</f>
        <v>24.280386964276033</v>
      </c>
    </row>
    <row r="46" spans="1:16" hidden="1" x14ac:dyDescent="0.2">
      <c r="A46" s="6" t="s">
        <v>64</v>
      </c>
      <c r="B46" s="6">
        <f>($O46/12)*(1+($P46/100))</f>
        <v>3494.2444444444441</v>
      </c>
      <c r="C46" s="6">
        <f t="shared" ref="C46:M47" si="27">($O46/12)*(1+($P46/100))</f>
        <v>3494.2444444444441</v>
      </c>
      <c r="D46" s="6">
        <f t="shared" si="27"/>
        <v>3494.2444444444441</v>
      </c>
      <c r="E46" s="6">
        <f t="shared" si="27"/>
        <v>3494.2444444444441</v>
      </c>
      <c r="F46" s="6">
        <f t="shared" si="27"/>
        <v>3494.2444444444441</v>
      </c>
      <c r="G46" s="6">
        <f t="shared" si="27"/>
        <v>3494.2444444444441</v>
      </c>
      <c r="H46" s="6">
        <f t="shared" si="27"/>
        <v>3494.2444444444441</v>
      </c>
      <c r="I46" s="6">
        <f t="shared" si="27"/>
        <v>3494.2444444444441</v>
      </c>
      <c r="J46" s="6">
        <f t="shared" si="27"/>
        <v>3494.2444444444441</v>
      </c>
      <c r="K46" s="6">
        <f t="shared" si="27"/>
        <v>3494.2444444444441</v>
      </c>
      <c r="L46" s="6">
        <f t="shared" si="27"/>
        <v>3494.2444444444441</v>
      </c>
      <c r="M46" s="6">
        <f t="shared" si="27"/>
        <v>3494.2444444444441</v>
      </c>
      <c r="N46" s="6">
        <f>SUM(B46:M46)</f>
        <v>41930.93333333332</v>
      </c>
      <c r="O46" s="6">
        <f>22463/9*12</f>
        <v>29950.666666666664</v>
      </c>
      <c r="P46" s="6">
        <v>40</v>
      </c>
    </row>
    <row r="47" spans="1:16" hidden="1" x14ac:dyDescent="0.2">
      <c r="A47" s="10" t="s">
        <v>65</v>
      </c>
      <c r="B47" s="6">
        <f>($O47/12)*(1+($P47/100))</f>
        <v>1615.8888888888889</v>
      </c>
      <c r="C47" s="6">
        <f t="shared" si="27"/>
        <v>1615.8888888888889</v>
      </c>
      <c r="D47" s="6">
        <f t="shared" si="27"/>
        <v>1615.8888888888889</v>
      </c>
      <c r="E47" s="6">
        <f t="shared" si="27"/>
        <v>1615.8888888888889</v>
      </c>
      <c r="F47" s="6">
        <f t="shared" si="27"/>
        <v>1615.8888888888889</v>
      </c>
      <c r="G47" s="6">
        <f t="shared" si="27"/>
        <v>1615.8888888888889</v>
      </c>
      <c r="H47" s="6">
        <f t="shared" si="27"/>
        <v>1615.8888888888889</v>
      </c>
      <c r="I47" s="6">
        <f t="shared" si="27"/>
        <v>1615.8888888888889</v>
      </c>
      <c r="J47" s="6">
        <f t="shared" si="27"/>
        <v>1615.8888888888889</v>
      </c>
      <c r="K47" s="6">
        <f t="shared" si="27"/>
        <v>1615.8888888888889</v>
      </c>
      <c r="L47" s="6">
        <f t="shared" si="27"/>
        <v>1615.8888888888889</v>
      </c>
      <c r="M47" s="6">
        <f t="shared" si="27"/>
        <v>1615.8888888888889</v>
      </c>
      <c r="N47" s="6">
        <f>SUM(B47:M47)</f>
        <v>19390.666666666668</v>
      </c>
      <c r="O47" s="6">
        <f>14543/9*12</f>
        <v>19390.666666666668</v>
      </c>
      <c r="P47" s="6">
        <v>0</v>
      </c>
    </row>
    <row r="48" spans="1:16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s="11" customFormat="1" x14ac:dyDescent="0.2"/>
    <row r="67" spans="1:14" s="11" customFormat="1" x14ac:dyDescent="0.2"/>
    <row r="68" spans="1:14" s="11" customFormat="1" x14ac:dyDescent="0.2"/>
    <row r="69" spans="1:14" s="11" customFormat="1" x14ac:dyDescent="0.2"/>
    <row r="70" spans="1:14" s="11" customFormat="1" x14ac:dyDescent="0.2"/>
    <row r="71" spans="1:14" s="11" customFormat="1" x14ac:dyDescent="0.2"/>
    <row r="72" spans="1:14" s="11" customFormat="1" x14ac:dyDescent="0.2"/>
    <row r="73" spans="1:14" s="11" customFormat="1" x14ac:dyDescent="0.2"/>
    <row r="74" spans="1:14" s="11" customFormat="1" x14ac:dyDescent="0.2"/>
    <row r="75" spans="1:14" s="11" customFormat="1" x14ac:dyDescent="0.2"/>
    <row r="76" spans="1:14" s="11" customFormat="1" x14ac:dyDescent="0.2"/>
    <row r="77" spans="1:14" s="11" customFormat="1" x14ac:dyDescent="0.2"/>
    <row r="78" spans="1:14" s="11" customFormat="1" x14ac:dyDescent="0.2"/>
    <row r="79" spans="1:14" s="11" customFormat="1" x14ac:dyDescent="0.2"/>
    <row r="80" spans="1:14" s="11" customFormat="1" x14ac:dyDescent="0.2"/>
  </sheetData>
  <pageMargins left="0" right="0" top="0.19685039370078741" bottom="0.19685039370078741" header="0.39370078740157483" footer="0.11811023622047245"/>
  <pageSetup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6" sqref="B46"/>
    </sheetView>
  </sheetViews>
  <sheetFormatPr defaultColWidth="11.42578125" defaultRowHeight="12.75" x14ac:dyDescent="0.2"/>
  <cols>
    <col min="1" max="1" width="27" style="9" customWidth="1"/>
    <col min="2" max="5" width="7.140625" style="9" customWidth="1"/>
    <col min="6" max="12" width="8.140625" style="9" customWidth="1"/>
    <col min="13" max="13" width="7.140625" style="9" customWidth="1"/>
    <col min="14" max="14" width="9.7109375" style="9" customWidth="1"/>
    <col min="15" max="15" width="8.140625" style="6" customWidth="1"/>
    <col min="16" max="16" width="6.7109375" style="6" customWidth="1"/>
    <col min="17" max="16384" width="11.42578125" style="9"/>
  </cols>
  <sheetData>
    <row r="1" spans="1:16" x14ac:dyDescent="0.2">
      <c r="E1" s="9" t="s">
        <v>66</v>
      </c>
      <c r="N1" s="6" t="s">
        <v>94</v>
      </c>
      <c r="O1" s="6" t="s">
        <v>94</v>
      </c>
      <c r="P1" s="6" t="s">
        <v>37</v>
      </c>
    </row>
    <row r="2" spans="1:16" x14ac:dyDescent="0.2">
      <c r="A2" s="6"/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96</v>
      </c>
      <c r="O2" s="6" t="s">
        <v>95</v>
      </c>
      <c r="P2" s="6" t="s">
        <v>97</v>
      </c>
    </row>
    <row r="3" spans="1:16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x14ac:dyDescent="0.2">
      <c r="A4" s="6" t="s">
        <v>38</v>
      </c>
      <c r="B4" s="15">
        <f>SUM(B5:B6)</f>
        <v>22250</v>
      </c>
      <c r="C4" s="15">
        <f t="shared" ref="C4:M4" si="0">SUM(C5:C6)</f>
        <v>22250</v>
      </c>
      <c r="D4" s="15">
        <f t="shared" si="0"/>
        <v>22250</v>
      </c>
      <c r="E4" s="15">
        <f t="shared" si="0"/>
        <v>22250</v>
      </c>
      <c r="F4" s="15">
        <f t="shared" si="0"/>
        <v>22250</v>
      </c>
      <c r="G4" s="15">
        <f t="shared" si="0"/>
        <v>22250</v>
      </c>
      <c r="H4" s="15">
        <f t="shared" si="0"/>
        <v>22250</v>
      </c>
      <c r="I4" s="15">
        <f t="shared" si="0"/>
        <v>22250</v>
      </c>
      <c r="J4" s="15">
        <f t="shared" si="0"/>
        <v>24837.5</v>
      </c>
      <c r="K4" s="15">
        <f t="shared" si="0"/>
        <v>24837.5</v>
      </c>
      <c r="L4" s="15">
        <f t="shared" si="0"/>
        <v>24837.5</v>
      </c>
      <c r="M4" s="15">
        <f t="shared" si="0"/>
        <v>24837.5</v>
      </c>
      <c r="N4" s="15">
        <f>SUM(B4:M4)</f>
        <v>277350</v>
      </c>
      <c r="O4" s="15">
        <f>SUM(O5:O6)</f>
        <v>236473.33333333334</v>
      </c>
      <c r="P4" s="15">
        <f>(N4/O4-1)*100</f>
        <v>17.285951904372588</v>
      </c>
    </row>
    <row r="5" spans="1:16" x14ac:dyDescent="0.2">
      <c r="A5" s="6" t="s">
        <v>39</v>
      </c>
      <c r="B5" s="15">
        <f>($O5/12)*(1+($P5/100))</f>
        <v>17250</v>
      </c>
      <c r="C5" s="15">
        <f t="shared" ref="C5:I5" si="1">($O5/12)*(1+($P5/100))</f>
        <v>17250</v>
      </c>
      <c r="D5" s="15">
        <f t="shared" si="1"/>
        <v>17250</v>
      </c>
      <c r="E5" s="15">
        <f t="shared" si="1"/>
        <v>17250</v>
      </c>
      <c r="F5" s="15">
        <f t="shared" si="1"/>
        <v>17250</v>
      </c>
      <c r="G5" s="15">
        <f t="shared" si="1"/>
        <v>17250</v>
      </c>
      <c r="H5" s="15">
        <f t="shared" si="1"/>
        <v>17250</v>
      </c>
      <c r="I5" s="15">
        <f t="shared" si="1"/>
        <v>17250</v>
      </c>
      <c r="J5" s="15">
        <f>($O5/12)*(1+($P5/100))*1.15</f>
        <v>19837.5</v>
      </c>
      <c r="K5" s="15">
        <f>($O5/12)*(1+($P5/100))*1.15</f>
        <v>19837.5</v>
      </c>
      <c r="L5" s="15">
        <f>($O5/12)*(1+($P5/100))*1.15</f>
        <v>19837.5</v>
      </c>
      <c r="M5" s="15">
        <f>($O5/12)*(1+($P5/100))*1.15</f>
        <v>19837.5</v>
      </c>
      <c r="N5" s="15">
        <f>SUM(B5:M5)</f>
        <v>217350</v>
      </c>
      <c r="O5" s="6">
        <v>180000</v>
      </c>
      <c r="P5" s="6">
        <v>15</v>
      </c>
    </row>
    <row r="6" spans="1:16" x14ac:dyDescent="0.2">
      <c r="A6" s="6" t="s">
        <v>40</v>
      </c>
      <c r="B6" s="15">
        <v>5000</v>
      </c>
      <c r="C6" s="15">
        <v>5000</v>
      </c>
      <c r="D6" s="15">
        <v>5000</v>
      </c>
      <c r="E6" s="15">
        <v>5000</v>
      </c>
      <c r="F6" s="15">
        <v>5000</v>
      </c>
      <c r="G6" s="15">
        <v>5000</v>
      </c>
      <c r="H6" s="15">
        <v>5000</v>
      </c>
      <c r="I6" s="15">
        <v>5000</v>
      </c>
      <c r="J6" s="15">
        <v>5000</v>
      </c>
      <c r="K6" s="15">
        <v>5000</v>
      </c>
      <c r="L6" s="15">
        <v>5000</v>
      </c>
      <c r="M6" s="15">
        <v>5000</v>
      </c>
      <c r="N6" s="15">
        <f>SUM(B6:M6)</f>
        <v>60000</v>
      </c>
      <c r="O6" s="6">
        <f>42355/9*12</f>
        <v>56473.333333333336</v>
      </c>
      <c r="P6" s="6">
        <f>(N6/O6-1)*100</f>
        <v>6.2448353205052376</v>
      </c>
    </row>
    <row r="7" spans="1:1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6" x14ac:dyDescent="0.2">
      <c r="A8" s="6" t="s">
        <v>41</v>
      </c>
      <c r="B8" s="15">
        <f>SUM(B9:B14)</f>
        <v>11430.959375</v>
      </c>
      <c r="C8" s="15">
        <f t="shared" ref="C8:M8" si="2">SUM(C9:C14)</f>
        <v>11430.959375</v>
      </c>
      <c r="D8" s="15">
        <f t="shared" si="2"/>
        <v>11430.959375</v>
      </c>
      <c r="E8" s="15">
        <f t="shared" si="2"/>
        <v>11430.959375</v>
      </c>
      <c r="F8" s="15">
        <f t="shared" si="2"/>
        <v>11430.959375</v>
      </c>
      <c r="G8" s="15">
        <f t="shared" si="2"/>
        <v>11430.959375</v>
      </c>
      <c r="H8" s="15">
        <f t="shared" si="2"/>
        <v>11430.959375</v>
      </c>
      <c r="I8" s="15">
        <f t="shared" si="2"/>
        <v>11430.959375</v>
      </c>
      <c r="J8" s="15">
        <f t="shared" si="2"/>
        <v>12766.85328125</v>
      </c>
      <c r="K8" s="15">
        <f t="shared" si="2"/>
        <v>12766.85328125</v>
      </c>
      <c r="L8" s="15">
        <f t="shared" si="2"/>
        <v>12766.85328125</v>
      </c>
      <c r="M8" s="15">
        <f t="shared" si="2"/>
        <v>12766.85328125</v>
      </c>
      <c r="N8" s="15">
        <f t="shared" ref="N8:N13" si="3">SUM(B8:M8)</f>
        <v>142515.08812500004</v>
      </c>
      <c r="O8" s="15">
        <f>SUM(O9:O14)</f>
        <v>27000</v>
      </c>
    </row>
    <row r="9" spans="1:16" x14ac:dyDescent="0.2">
      <c r="A9" s="6" t="s">
        <v>42</v>
      </c>
      <c r="B9" s="15">
        <f>(B5+B12+B13)*28%</f>
        <v>5365.3250000000007</v>
      </c>
      <c r="C9" s="15">
        <f t="shared" ref="C9:M9" si="4">(C5+C12+C13)*28%</f>
        <v>5365.3250000000007</v>
      </c>
      <c r="D9" s="15">
        <f t="shared" si="4"/>
        <v>5365.3250000000007</v>
      </c>
      <c r="E9" s="15">
        <f t="shared" si="4"/>
        <v>5365.3250000000007</v>
      </c>
      <c r="F9" s="15">
        <f t="shared" si="4"/>
        <v>5365.3250000000007</v>
      </c>
      <c r="G9" s="15">
        <f t="shared" si="4"/>
        <v>5365.3250000000007</v>
      </c>
      <c r="H9" s="15">
        <f t="shared" si="4"/>
        <v>5365.3250000000007</v>
      </c>
      <c r="I9" s="15">
        <f t="shared" si="4"/>
        <v>5365.3250000000007</v>
      </c>
      <c r="J9" s="15">
        <f t="shared" si="4"/>
        <v>6170.1237500000007</v>
      </c>
      <c r="K9" s="15">
        <f t="shared" si="4"/>
        <v>6170.1237500000007</v>
      </c>
      <c r="L9" s="15">
        <f t="shared" si="4"/>
        <v>6170.1237500000007</v>
      </c>
      <c r="M9" s="15">
        <f t="shared" si="4"/>
        <v>6170.1237500000007</v>
      </c>
      <c r="N9" s="15">
        <f t="shared" si="3"/>
        <v>67603.095000000001</v>
      </c>
      <c r="O9" s="6" t="s">
        <v>67</v>
      </c>
      <c r="P9" s="6" t="s">
        <v>67</v>
      </c>
    </row>
    <row r="10" spans="1:16" x14ac:dyDescent="0.2">
      <c r="A10" s="6" t="s">
        <v>43</v>
      </c>
      <c r="B10" s="15">
        <f>(B5+B13+B12)*8.5%</f>
        <v>1628.7593750000001</v>
      </c>
      <c r="C10" s="15">
        <f t="shared" ref="C10:M10" si="5">(C5+C13+C12)*8.5%</f>
        <v>1628.7593750000001</v>
      </c>
      <c r="D10" s="15">
        <f t="shared" si="5"/>
        <v>1628.7593750000001</v>
      </c>
      <c r="E10" s="15">
        <f t="shared" si="5"/>
        <v>1628.7593750000001</v>
      </c>
      <c r="F10" s="15">
        <f t="shared" si="5"/>
        <v>1628.7593750000001</v>
      </c>
      <c r="G10" s="15">
        <f t="shared" si="5"/>
        <v>1628.7593750000001</v>
      </c>
      <c r="H10" s="15">
        <f t="shared" si="5"/>
        <v>1628.7593750000001</v>
      </c>
      <c r="I10" s="15">
        <f t="shared" si="5"/>
        <v>1628.7593750000001</v>
      </c>
      <c r="J10" s="15">
        <f t="shared" si="5"/>
        <v>1873.07328125</v>
      </c>
      <c r="K10" s="15">
        <f t="shared" si="5"/>
        <v>1873.07328125</v>
      </c>
      <c r="L10" s="15">
        <f t="shared" si="5"/>
        <v>1873.07328125</v>
      </c>
      <c r="M10" s="15">
        <f t="shared" si="5"/>
        <v>1873.07328125</v>
      </c>
      <c r="N10" s="15">
        <f t="shared" si="3"/>
        <v>20522.368124999997</v>
      </c>
      <c r="O10" s="6" t="s">
        <v>67</v>
      </c>
      <c r="P10" s="6" t="s">
        <v>67</v>
      </c>
    </row>
    <row r="11" spans="1:16" x14ac:dyDescent="0.2">
      <c r="A11" s="6" t="s">
        <v>68</v>
      </c>
      <c r="B11" s="15">
        <f>($O11/12)*(1+($P11/100))</f>
        <v>2108.333333333333</v>
      </c>
      <c r="C11" s="15">
        <f t="shared" ref="C11:M11" si="6">($O11/12)*(1+($P11/100))</f>
        <v>2108.333333333333</v>
      </c>
      <c r="D11" s="15">
        <f t="shared" si="6"/>
        <v>2108.333333333333</v>
      </c>
      <c r="E11" s="15">
        <f t="shared" si="6"/>
        <v>2108.333333333333</v>
      </c>
      <c r="F11" s="15">
        <f t="shared" si="6"/>
        <v>2108.333333333333</v>
      </c>
      <c r="G11" s="15">
        <f t="shared" si="6"/>
        <v>2108.333333333333</v>
      </c>
      <c r="H11" s="15">
        <f t="shared" si="6"/>
        <v>2108.333333333333</v>
      </c>
      <c r="I11" s="15">
        <f t="shared" si="6"/>
        <v>2108.333333333333</v>
      </c>
      <c r="J11" s="15">
        <f t="shared" si="6"/>
        <v>2108.333333333333</v>
      </c>
      <c r="K11" s="15">
        <f t="shared" si="6"/>
        <v>2108.333333333333</v>
      </c>
      <c r="L11" s="15">
        <f t="shared" si="6"/>
        <v>2108.333333333333</v>
      </c>
      <c r="M11" s="15">
        <f t="shared" si="6"/>
        <v>2108.333333333333</v>
      </c>
      <c r="N11" s="15">
        <f t="shared" si="3"/>
        <v>25299.999999999989</v>
      </c>
      <c r="O11" s="6">
        <v>22000</v>
      </c>
      <c r="P11" s="6">
        <v>15</v>
      </c>
    </row>
    <row r="12" spans="1:16" x14ac:dyDescent="0.2">
      <c r="A12" s="6" t="s">
        <v>45</v>
      </c>
      <c r="B12" s="15">
        <f>(B5/12)*33%</f>
        <v>474.375</v>
      </c>
      <c r="C12" s="15">
        <f t="shared" ref="C12:M12" si="7">(C5/12)*33%</f>
        <v>474.375</v>
      </c>
      <c r="D12" s="15">
        <f t="shared" si="7"/>
        <v>474.375</v>
      </c>
      <c r="E12" s="15">
        <f t="shared" si="7"/>
        <v>474.375</v>
      </c>
      <c r="F12" s="15">
        <f t="shared" si="7"/>
        <v>474.375</v>
      </c>
      <c r="G12" s="15">
        <f t="shared" si="7"/>
        <v>474.375</v>
      </c>
      <c r="H12" s="15">
        <f t="shared" si="7"/>
        <v>474.375</v>
      </c>
      <c r="I12" s="15">
        <f t="shared" si="7"/>
        <v>474.375</v>
      </c>
      <c r="J12" s="15">
        <f t="shared" si="7"/>
        <v>545.53125</v>
      </c>
      <c r="K12" s="15">
        <f t="shared" si="7"/>
        <v>545.53125</v>
      </c>
      <c r="L12" s="15">
        <f t="shared" si="7"/>
        <v>545.53125</v>
      </c>
      <c r="M12" s="15">
        <f t="shared" si="7"/>
        <v>545.53125</v>
      </c>
      <c r="N12" s="15">
        <f t="shared" si="3"/>
        <v>5977.125</v>
      </c>
      <c r="O12" s="6" t="s">
        <v>67</v>
      </c>
      <c r="P12" s="6" t="s">
        <v>67</v>
      </c>
    </row>
    <row r="13" spans="1:16" x14ac:dyDescent="0.2">
      <c r="A13" s="6" t="s">
        <v>46</v>
      </c>
      <c r="B13" s="15">
        <f>(B5)/12</f>
        <v>1437.5</v>
      </c>
      <c r="C13" s="15">
        <f t="shared" ref="C13:M13" si="8">(C5)/12</f>
        <v>1437.5</v>
      </c>
      <c r="D13" s="15">
        <f t="shared" si="8"/>
        <v>1437.5</v>
      </c>
      <c r="E13" s="15">
        <f t="shared" si="8"/>
        <v>1437.5</v>
      </c>
      <c r="F13" s="15">
        <f t="shared" si="8"/>
        <v>1437.5</v>
      </c>
      <c r="G13" s="15">
        <f t="shared" si="8"/>
        <v>1437.5</v>
      </c>
      <c r="H13" s="15">
        <f t="shared" si="8"/>
        <v>1437.5</v>
      </c>
      <c r="I13" s="15">
        <f t="shared" si="8"/>
        <v>1437.5</v>
      </c>
      <c r="J13" s="15">
        <f t="shared" si="8"/>
        <v>1653.125</v>
      </c>
      <c r="K13" s="15">
        <f t="shared" si="8"/>
        <v>1653.125</v>
      </c>
      <c r="L13" s="15">
        <f t="shared" si="8"/>
        <v>1653.125</v>
      </c>
      <c r="M13" s="15">
        <f t="shared" si="8"/>
        <v>1653.125</v>
      </c>
      <c r="N13" s="15">
        <f t="shared" si="3"/>
        <v>18112.5</v>
      </c>
      <c r="O13" s="6" t="s">
        <v>67</v>
      </c>
      <c r="P13" s="6" t="s">
        <v>67</v>
      </c>
    </row>
    <row r="14" spans="1:16" x14ac:dyDescent="0.2">
      <c r="A14" s="6" t="s">
        <v>47</v>
      </c>
      <c r="B14" s="15">
        <f>($O14/12)*(1+($P14/100))</f>
        <v>416.66666666666669</v>
      </c>
      <c r="C14" s="15">
        <f t="shared" ref="C14:N14" si="9">($O14/12)*(1+($P14/100))</f>
        <v>416.66666666666669</v>
      </c>
      <c r="D14" s="15">
        <f t="shared" si="9"/>
        <v>416.66666666666669</v>
      </c>
      <c r="E14" s="15">
        <f t="shared" si="9"/>
        <v>416.66666666666669</v>
      </c>
      <c r="F14" s="15">
        <f t="shared" si="9"/>
        <v>416.66666666666669</v>
      </c>
      <c r="G14" s="15">
        <f t="shared" si="9"/>
        <v>416.66666666666669</v>
      </c>
      <c r="H14" s="15">
        <f t="shared" si="9"/>
        <v>416.66666666666669</v>
      </c>
      <c r="I14" s="15">
        <f t="shared" si="9"/>
        <v>416.66666666666669</v>
      </c>
      <c r="J14" s="15">
        <f t="shared" si="9"/>
        <v>416.66666666666669</v>
      </c>
      <c r="K14" s="15">
        <f t="shared" si="9"/>
        <v>416.66666666666669</v>
      </c>
      <c r="L14" s="15">
        <f t="shared" si="9"/>
        <v>416.66666666666669</v>
      </c>
      <c r="M14" s="15">
        <f t="shared" si="9"/>
        <v>416.66666666666669</v>
      </c>
      <c r="N14" s="15">
        <f t="shared" si="9"/>
        <v>416.66666666666669</v>
      </c>
      <c r="O14" s="6">
        <v>5000</v>
      </c>
      <c r="P14" s="6">
        <v>0</v>
      </c>
    </row>
    <row r="15" spans="1:16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6" x14ac:dyDescent="0.2">
      <c r="A16" s="6" t="s">
        <v>48</v>
      </c>
      <c r="B16" s="15">
        <f>B17+B18</f>
        <v>1668.3666666666668</v>
      </c>
      <c r="C16" s="15">
        <f t="shared" ref="C16:O16" si="10">C17+C18</f>
        <v>1668.3666666666668</v>
      </c>
      <c r="D16" s="15">
        <f t="shared" si="10"/>
        <v>1668.3666666666668</v>
      </c>
      <c r="E16" s="15">
        <f t="shared" si="10"/>
        <v>1668.3666666666668</v>
      </c>
      <c r="F16" s="15">
        <f t="shared" si="10"/>
        <v>1668.3666666666668</v>
      </c>
      <c r="G16" s="15">
        <f t="shared" si="10"/>
        <v>1668.3666666666668</v>
      </c>
      <c r="H16" s="15">
        <f t="shared" si="10"/>
        <v>1668.3666666666668</v>
      </c>
      <c r="I16" s="15">
        <f t="shared" si="10"/>
        <v>1668.3666666666668</v>
      </c>
      <c r="J16" s="15">
        <f t="shared" si="10"/>
        <v>1668.3666666666668</v>
      </c>
      <c r="K16" s="15">
        <f t="shared" si="10"/>
        <v>1668.3666666666668</v>
      </c>
      <c r="L16" s="15">
        <f t="shared" si="10"/>
        <v>1668.3666666666668</v>
      </c>
      <c r="M16" s="15">
        <f t="shared" si="10"/>
        <v>1668.3666666666668</v>
      </c>
      <c r="N16" s="15">
        <f>SUM(B16:M16)</f>
        <v>20020.400000000001</v>
      </c>
      <c r="O16" s="15">
        <f t="shared" si="10"/>
        <v>19564</v>
      </c>
      <c r="P16" s="6">
        <f>(N16/O16-1)*100</f>
        <v>2.3328562666121488</v>
      </c>
    </row>
    <row r="17" spans="1:16" x14ac:dyDescent="0.2">
      <c r="A17" s="6" t="s">
        <v>50</v>
      </c>
      <c r="B17" s="15">
        <f t="shared" ref="B17:M18" si="11">($O17/12)*(1+($P17/100))</f>
        <v>418.36666666666667</v>
      </c>
      <c r="C17" s="15">
        <f t="shared" si="11"/>
        <v>418.36666666666667</v>
      </c>
      <c r="D17" s="15">
        <f t="shared" si="11"/>
        <v>418.36666666666667</v>
      </c>
      <c r="E17" s="15">
        <f t="shared" si="11"/>
        <v>418.36666666666667</v>
      </c>
      <c r="F17" s="15">
        <f t="shared" si="11"/>
        <v>418.36666666666667</v>
      </c>
      <c r="G17" s="15">
        <f t="shared" si="11"/>
        <v>418.36666666666667</v>
      </c>
      <c r="H17" s="15">
        <f t="shared" si="11"/>
        <v>418.36666666666667</v>
      </c>
      <c r="I17" s="15">
        <f t="shared" si="11"/>
        <v>418.36666666666667</v>
      </c>
      <c r="J17" s="15">
        <f t="shared" si="11"/>
        <v>418.36666666666667</v>
      </c>
      <c r="K17" s="15">
        <f t="shared" si="11"/>
        <v>418.36666666666667</v>
      </c>
      <c r="L17" s="15">
        <f t="shared" si="11"/>
        <v>418.36666666666667</v>
      </c>
      <c r="M17" s="15">
        <f t="shared" si="11"/>
        <v>418.36666666666667</v>
      </c>
      <c r="N17" s="15">
        <f>SUM(B17:M17)</f>
        <v>5020.4000000000005</v>
      </c>
      <c r="O17" s="6">
        <f>3423/9*12</f>
        <v>4564</v>
      </c>
      <c r="P17" s="6">
        <v>10</v>
      </c>
    </row>
    <row r="18" spans="1:16" x14ac:dyDescent="0.2">
      <c r="A18" s="6" t="s">
        <v>51</v>
      </c>
      <c r="B18" s="15">
        <f t="shared" si="11"/>
        <v>1250</v>
      </c>
      <c r="C18" s="15">
        <f t="shared" si="11"/>
        <v>1250</v>
      </c>
      <c r="D18" s="15">
        <f t="shared" si="11"/>
        <v>1250</v>
      </c>
      <c r="E18" s="15">
        <f t="shared" si="11"/>
        <v>1250</v>
      </c>
      <c r="F18" s="15">
        <f t="shared" si="11"/>
        <v>1250</v>
      </c>
      <c r="G18" s="15">
        <f t="shared" si="11"/>
        <v>1250</v>
      </c>
      <c r="H18" s="15">
        <f t="shared" si="11"/>
        <v>1250</v>
      </c>
      <c r="I18" s="15">
        <f t="shared" si="11"/>
        <v>1250</v>
      </c>
      <c r="J18" s="15">
        <f t="shared" si="11"/>
        <v>1250</v>
      </c>
      <c r="K18" s="15">
        <f t="shared" si="11"/>
        <v>1250</v>
      </c>
      <c r="L18" s="15">
        <f t="shared" si="11"/>
        <v>1250</v>
      </c>
      <c r="M18" s="15">
        <f t="shared" si="11"/>
        <v>1250</v>
      </c>
      <c r="N18" s="15">
        <f>SUM(B18:M18)</f>
        <v>15000</v>
      </c>
      <c r="O18" s="6">
        <v>15000</v>
      </c>
      <c r="P18" s="6">
        <v>0</v>
      </c>
    </row>
    <row r="19" spans="1:1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6" x14ac:dyDescent="0.2">
      <c r="A20" s="6" t="s">
        <v>52</v>
      </c>
      <c r="B20" s="15">
        <f>B16+B8+B4</f>
        <v>35349.326041666667</v>
      </c>
      <c r="C20" s="15">
        <f t="shared" ref="C20:O20" si="12">C16+C8+C4</f>
        <v>35349.326041666667</v>
      </c>
      <c r="D20" s="15">
        <f t="shared" si="12"/>
        <v>35349.326041666667</v>
      </c>
      <c r="E20" s="15">
        <f t="shared" si="12"/>
        <v>35349.326041666667</v>
      </c>
      <c r="F20" s="15">
        <f t="shared" si="12"/>
        <v>35349.326041666667</v>
      </c>
      <c r="G20" s="15">
        <f t="shared" si="12"/>
        <v>35349.326041666667</v>
      </c>
      <c r="H20" s="15">
        <f t="shared" si="12"/>
        <v>35349.326041666667</v>
      </c>
      <c r="I20" s="15">
        <f t="shared" si="12"/>
        <v>35349.326041666667</v>
      </c>
      <c r="J20" s="15">
        <f t="shared" si="12"/>
        <v>39272.719947916667</v>
      </c>
      <c r="K20" s="15">
        <f t="shared" si="12"/>
        <v>39272.719947916667</v>
      </c>
      <c r="L20" s="15">
        <f t="shared" si="12"/>
        <v>39272.719947916667</v>
      </c>
      <c r="M20" s="15">
        <f t="shared" si="12"/>
        <v>39272.719947916667</v>
      </c>
      <c r="N20" s="15">
        <f t="shared" si="12"/>
        <v>439885.48812500003</v>
      </c>
      <c r="O20" s="15">
        <f t="shared" si="12"/>
        <v>283037.33333333337</v>
      </c>
      <c r="P20" s="6">
        <f>(N20/O20-1)*100</f>
        <v>55.416065769297809</v>
      </c>
    </row>
    <row r="21" spans="1:16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6" x14ac:dyDescent="0.2">
      <c r="A22" s="6" t="s">
        <v>53</v>
      </c>
      <c r="B22" s="15">
        <f t="shared" ref="B22:M22" si="13">($O22/12)*(1+($P22/100))</f>
        <v>6099.9999999999991</v>
      </c>
      <c r="C22" s="15">
        <f t="shared" si="13"/>
        <v>6099.9999999999991</v>
      </c>
      <c r="D22" s="15">
        <f t="shared" si="13"/>
        <v>6099.9999999999991</v>
      </c>
      <c r="E22" s="15">
        <f t="shared" si="13"/>
        <v>6099.9999999999991</v>
      </c>
      <c r="F22" s="15">
        <f t="shared" si="13"/>
        <v>6099.9999999999991</v>
      </c>
      <c r="G22" s="15">
        <f t="shared" si="13"/>
        <v>6099.9999999999991</v>
      </c>
      <c r="H22" s="15">
        <f t="shared" si="13"/>
        <v>6099.9999999999991</v>
      </c>
      <c r="I22" s="15">
        <f t="shared" si="13"/>
        <v>6099.9999999999991</v>
      </c>
      <c r="J22" s="15">
        <f t="shared" si="13"/>
        <v>6099.9999999999991</v>
      </c>
      <c r="K22" s="15">
        <f t="shared" si="13"/>
        <v>6099.9999999999991</v>
      </c>
      <c r="L22" s="15">
        <f t="shared" si="13"/>
        <v>6099.9999999999991</v>
      </c>
      <c r="M22" s="15">
        <f t="shared" si="13"/>
        <v>6099.9999999999991</v>
      </c>
      <c r="N22" s="15">
        <f t="shared" ref="N22:N34" si="14">SUM(B22:M22)</f>
        <v>73199.999999999985</v>
      </c>
      <c r="O22" s="6">
        <f>13000+(4*12000)</f>
        <v>61000</v>
      </c>
      <c r="P22" s="6">
        <v>20</v>
      </c>
    </row>
    <row r="23" spans="1:16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6" x14ac:dyDescent="0.2">
      <c r="A24" s="6" t="s">
        <v>54</v>
      </c>
      <c r="B24" s="15">
        <f>($O24/12)*(1+($P24/100))</f>
        <v>3052</v>
      </c>
      <c r="C24" s="15">
        <f t="shared" ref="C24:M24" si="15">($O24/12)*(1+($P24/100))</f>
        <v>3052</v>
      </c>
      <c r="D24" s="15">
        <f t="shared" si="15"/>
        <v>3052</v>
      </c>
      <c r="E24" s="15">
        <f t="shared" si="15"/>
        <v>3052</v>
      </c>
      <c r="F24" s="15">
        <f t="shared" si="15"/>
        <v>3052</v>
      </c>
      <c r="G24" s="15">
        <f t="shared" si="15"/>
        <v>3052</v>
      </c>
      <c r="H24" s="15">
        <f t="shared" si="15"/>
        <v>3052</v>
      </c>
      <c r="I24" s="15">
        <f t="shared" si="15"/>
        <v>3052</v>
      </c>
      <c r="J24" s="15">
        <f t="shared" si="15"/>
        <v>3052</v>
      </c>
      <c r="K24" s="15">
        <f t="shared" si="15"/>
        <v>3052</v>
      </c>
      <c r="L24" s="15">
        <f t="shared" si="15"/>
        <v>3052</v>
      </c>
      <c r="M24" s="15">
        <f t="shared" si="15"/>
        <v>3052</v>
      </c>
      <c r="N24" s="15">
        <f t="shared" si="14"/>
        <v>36624</v>
      </c>
      <c r="O24" s="6">
        <f>18312/9*12</f>
        <v>24416</v>
      </c>
      <c r="P24" s="6">
        <v>50</v>
      </c>
    </row>
    <row r="25" spans="1:16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6" x14ac:dyDescent="0.2">
      <c r="A26" s="6" t="s">
        <v>55</v>
      </c>
      <c r="B26" s="15">
        <f>($O26/12)*(1+($P26/100))</f>
        <v>1651.6</v>
      </c>
      <c r="C26" s="15">
        <f t="shared" ref="C26:M26" si="16">($O26/12)*(1+($P26/100))</f>
        <v>1651.6</v>
      </c>
      <c r="D26" s="15">
        <f t="shared" si="16"/>
        <v>1651.6</v>
      </c>
      <c r="E26" s="15">
        <f t="shared" si="16"/>
        <v>1651.6</v>
      </c>
      <c r="F26" s="15">
        <f t="shared" si="16"/>
        <v>1651.6</v>
      </c>
      <c r="G26" s="15">
        <f t="shared" si="16"/>
        <v>1651.6</v>
      </c>
      <c r="H26" s="15">
        <f t="shared" si="16"/>
        <v>1651.6</v>
      </c>
      <c r="I26" s="15">
        <f t="shared" si="16"/>
        <v>1651.6</v>
      </c>
      <c r="J26" s="15">
        <f t="shared" si="16"/>
        <v>1651.6</v>
      </c>
      <c r="K26" s="15">
        <f t="shared" si="16"/>
        <v>1651.6</v>
      </c>
      <c r="L26" s="15">
        <f t="shared" si="16"/>
        <v>1651.6</v>
      </c>
      <c r="M26" s="15">
        <f t="shared" si="16"/>
        <v>1651.6</v>
      </c>
      <c r="N26" s="15">
        <f t="shared" si="14"/>
        <v>19819.199999999997</v>
      </c>
      <c r="O26" s="6">
        <f>12387/9*12</f>
        <v>16516</v>
      </c>
      <c r="P26" s="6">
        <v>20</v>
      </c>
    </row>
    <row r="27" spans="1:16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6" x14ac:dyDescent="0.2">
      <c r="A28" s="6" t="s">
        <v>56</v>
      </c>
      <c r="B28" s="15">
        <f>($O28/12)*(1+($P28/100))</f>
        <v>272.20666666666665</v>
      </c>
      <c r="C28" s="15">
        <f t="shared" ref="C28:M28" si="17">($O28/12)*(1+($P28/100))</f>
        <v>272.20666666666665</v>
      </c>
      <c r="D28" s="15">
        <f t="shared" si="17"/>
        <v>272.20666666666665</v>
      </c>
      <c r="E28" s="15">
        <f t="shared" si="17"/>
        <v>272.20666666666665</v>
      </c>
      <c r="F28" s="15">
        <f t="shared" si="17"/>
        <v>272.20666666666665</v>
      </c>
      <c r="G28" s="15">
        <f t="shared" si="17"/>
        <v>272.20666666666665</v>
      </c>
      <c r="H28" s="15">
        <f t="shared" si="17"/>
        <v>272.20666666666665</v>
      </c>
      <c r="I28" s="15">
        <f t="shared" si="17"/>
        <v>272.20666666666665</v>
      </c>
      <c r="J28" s="15">
        <f t="shared" si="17"/>
        <v>272.20666666666665</v>
      </c>
      <c r="K28" s="15">
        <f t="shared" si="17"/>
        <v>272.20666666666665</v>
      </c>
      <c r="L28" s="15">
        <f t="shared" si="17"/>
        <v>272.20666666666665</v>
      </c>
      <c r="M28" s="15">
        <f t="shared" si="17"/>
        <v>272.20666666666665</v>
      </c>
      <c r="N28" s="15">
        <f t="shared" si="14"/>
        <v>3266.4799999999991</v>
      </c>
      <c r="O28" s="6">
        <f>(128045-85004-40892)/9*12</f>
        <v>2865.333333333333</v>
      </c>
      <c r="P28" s="6">
        <v>14</v>
      </c>
    </row>
    <row r="29" spans="1:16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6" x14ac:dyDescent="0.2">
      <c r="A30" s="6" t="s">
        <v>57</v>
      </c>
      <c r="B30" s="15">
        <f>($O30/12)*(1+($P30/100))</f>
        <v>6966.666666666667</v>
      </c>
      <c r="C30" s="15">
        <f t="shared" ref="C30:M30" si="18">($O30/12)*(1+($P30/100))</f>
        <v>6966.666666666667</v>
      </c>
      <c r="D30" s="15">
        <f t="shared" si="18"/>
        <v>6966.666666666667</v>
      </c>
      <c r="E30" s="15">
        <f t="shared" si="18"/>
        <v>6966.666666666667</v>
      </c>
      <c r="F30" s="15">
        <f t="shared" si="18"/>
        <v>6966.666666666667</v>
      </c>
      <c r="G30" s="15">
        <f t="shared" si="18"/>
        <v>6966.666666666667</v>
      </c>
      <c r="H30" s="15">
        <f t="shared" si="18"/>
        <v>6966.666666666667</v>
      </c>
      <c r="I30" s="15">
        <f t="shared" si="18"/>
        <v>6966.666666666667</v>
      </c>
      <c r="J30" s="15">
        <f t="shared" si="18"/>
        <v>6966.666666666667</v>
      </c>
      <c r="K30" s="15">
        <f t="shared" si="18"/>
        <v>6966.666666666667</v>
      </c>
      <c r="L30" s="15">
        <f t="shared" si="18"/>
        <v>6966.666666666667</v>
      </c>
      <c r="M30" s="15">
        <f t="shared" si="18"/>
        <v>6966.666666666667</v>
      </c>
      <c r="N30" s="15">
        <f t="shared" si="14"/>
        <v>83600</v>
      </c>
      <c r="O30" s="6">
        <f>19000/3*12</f>
        <v>76000</v>
      </c>
      <c r="P30" s="6">
        <v>10</v>
      </c>
    </row>
    <row r="31" spans="1:16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6" x14ac:dyDescent="0.2">
      <c r="A32" s="6" t="s">
        <v>58</v>
      </c>
      <c r="B32" s="15">
        <f>($O32/12)*(1+($P32/100))</f>
        <v>700.5</v>
      </c>
      <c r="C32" s="15">
        <f t="shared" ref="C32:M32" si="19">($O32/12)*(1+($P32/100))</f>
        <v>700.5</v>
      </c>
      <c r="D32" s="15">
        <f t="shared" si="19"/>
        <v>700.5</v>
      </c>
      <c r="E32" s="15">
        <f t="shared" si="19"/>
        <v>700.5</v>
      </c>
      <c r="F32" s="15">
        <f t="shared" si="19"/>
        <v>700.5</v>
      </c>
      <c r="G32" s="15">
        <f t="shared" si="19"/>
        <v>700.5</v>
      </c>
      <c r="H32" s="15">
        <f t="shared" si="19"/>
        <v>700.5</v>
      </c>
      <c r="I32" s="15">
        <f t="shared" si="19"/>
        <v>700.5</v>
      </c>
      <c r="J32" s="15">
        <f t="shared" si="19"/>
        <v>700.5</v>
      </c>
      <c r="K32" s="15">
        <f t="shared" si="19"/>
        <v>700.5</v>
      </c>
      <c r="L32" s="15">
        <f t="shared" si="19"/>
        <v>700.5</v>
      </c>
      <c r="M32" s="15">
        <f t="shared" si="19"/>
        <v>700.5</v>
      </c>
      <c r="N32" s="15">
        <f t="shared" si="14"/>
        <v>8406</v>
      </c>
      <c r="O32" s="6">
        <f>2335/4*12</f>
        <v>7005</v>
      </c>
      <c r="P32" s="6">
        <v>20</v>
      </c>
    </row>
    <row r="33" spans="1:16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6" x14ac:dyDescent="0.2">
      <c r="A34" s="6" t="s">
        <v>59</v>
      </c>
      <c r="B34" s="15">
        <f>($O34/12)*(1+($P34/100))</f>
        <v>8800</v>
      </c>
      <c r="C34" s="15">
        <f t="shared" ref="C34:M34" si="20">($O34/12)*(1+($P34/100))</f>
        <v>8800</v>
      </c>
      <c r="D34" s="15">
        <f t="shared" si="20"/>
        <v>8800</v>
      </c>
      <c r="E34" s="15">
        <f t="shared" si="20"/>
        <v>8800</v>
      </c>
      <c r="F34" s="15">
        <f t="shared" si="20"/>
        <v>8800</v>
      </c>
      <c r="G34" s="15">
        <f t="shared" si="20"/>
        <v>8800</v>
      </c>
      <c r="H34" s="15">
        <f t="shared" si="20"/>
        <v>8800</v>
      </c>
      <c r="I34" s="15">
        <f t="shared" si="20"/>
        <v>8800</v>
      </c>
      <c r="J34" s="15">
        <f t="shared" si="20"/>
        <v>8800</v>
      </c>
      <c r="K34" s="15">
        <f t="shared" si="20"/>
        <v>8800</v>
      </c>
      <c r="L34" s="15">
        <f t="shared" si="20"/>
        <v>8800</v>
      </c>
      <c r="M34" s="15">
        <f t="shared" si="20"/>
        <v>8800</v>
      </c>
      <c r="N34" s="15">
        <f t="shared" si="14"/>
        <v>105600</v>
      </c>
      <c r="O34" s="6">
        <f>24000/3*12</f>
        <v>96000</v>
      </c>
      <c r="P34" s="6">
        <v>10</v>
      </c>
    </row>
    <row r="35" spans="1:1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6" x14ac:dyDescent="0.2">
      <c r="A36" s="6" t="s">
        <v>60</v>
      </c>
      <c r="B36" s="15">
        <f>B22+B24+B26+B28+B30+B32+B34</f>
        <v>27542.973333333335</v>
      </c>
      <c r="C36" s="15">
        <f t="shared" ref="C36:O36" si="21">C22+C24+C26+C28+C30+C32+C34</f>
        <v>27542.973333333335</v>
      </c>
      <c r="D36" s="15">
        <f t="shared" si="21"/>
        <v>27542.973333333335</v>
      </c>
      <c r="E36" s="15">
        <f t="shared" si="21"/>
        <v>27542.973333333335</v>
      </c>
      <c r="F36" s="15">
        <f t="shared" si="21"/>
        <v>27542.973333333335</v>
      </c>
      <c r="G36" s="15">
        <f t="shared" si="21"/>
        <v>27542.973333333335</v>
      </c>
      <c r="H36" s="15">
        <f t="shared" si="21"/>
        <v>27542.973333333335</v>
      </c>
      <c r="I36" s="15">
        <f t="shared" si="21"/>
        <v>27542.973333333335</v>
      </c>
      <c r="J36" s="15">
        <f t="shared" si="21"/>
        <v>27542.973333333335</v>
      </c>
      <c r="K36" s="15">
        <f t="shared" si="21"/>
        <v>27542.973333333335</v>
      </c>
      <c r="L36" s="15">
        <f t="shared" si="21"/>
        <v>27542.973333333335</v>
      </c>
      <c r="M36" s="15">
        <f t="shared" si="21"/>
        <v>27542.973333333335</v>
      </c>
      <c r="N36" s="15">
        <f t="shared" si="21"/>
        <v>330515.68</v>
      </c>
      <c r="O36" s="15">
        <f t="shared" si="21"/>
        <v>283802.33333333331</v>
      </c>
      <c r="P36" s="15">
        <f>(N36/O36-1)*100</f>
        <v>16.459817690011946</v>
      </c>
    </row>
    <row r="37" spans="1:1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6" x14ac:dyDescent="0.2">
      <c r="A38" s="6" t="s">
        <v>61</v>
      </c>
      <c r="B38" s="15">
        <f>($O38/12)*(1+($P38/100))</f>
        <v>886</v>
      </c>
      <c r="C38" s="15">
        <f t="shared" ref="C38:M38" si="22">($O38/12)*(1+($P38/100))</f>
        <v>886</v>
      </c>
      <c r="D38" s="15">
        <f t="shared" si="22"/>
        <v>886</v>
      </c>
      <c r="E38" s="15">
        <f t="shared" si="22"/>
        <v>886</v>
      </c>
      <c r="F38" s="15">
        <f t="shared" si="22"/>
        <v>886</v>
      </c>
      <c r="G38" s="15">
        <f t="shared" si="22"/>
        <v>886</v>
      </c>
      <c r="H38" s="15">
        <f t="shared" si="22"/>
        <v>886</v>
      </c>
      <c r="I38" s="15">
        <f t="shared" si="22"/>
        <v>886</v>
      </c>
      <c r="J38" s="15">
        <f t="shared" si="22"/>
        <v>886</v>
      </c>
      <c r="K38" s="15">
        <f t="shared" si="22"/>
        <v>886</v>
      </c>
      <c r="L38" s="15">
        <f t="shared" si="22"/>
        <v>886</v>
      </c>
      <c r="M38" s="15">
        <f t="shared" si="22"/>
        <v>886</v>
      </c>
      <c r="N38" s="15">
        <f>SUM(B38:M38)</f>
        <v>10632</v>
      </c>
      <c r="O38" s="6">
        <f>6202/7*12</f>
        <v>10632</v>
      </c>
      <c r="P38" s="6">
        <v>0</v>
      </c>
    </row>
    <row r="39" spans="1:16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6" x14ac:dyDescent="0.2">
      <c r="A40" s="6" t="s">
        <v>62</v>
      </c>
      <c r="B40" s="15">
        <f>B20+B36+B38</f>
        <v>63778.299375000002</v>
      </c>
      <c r="C40" s="15">
        <f t="shared" ref="C40:O40" si="23">C20+C36+C38</f>
        <v>63778.299375000002</v>
      </c>
      <c r="D40" s="15">
        <f t="shared" si="23"/>
        <v>63778.299375000002</v>
      </c>
      <c r="E40" s="15">
        <f t="shared" si="23"/>
        <v>63778.299375000002</v>
      </c>
      <c r="F40" s="15">
        <f t="shared" si="23"/>
        <v>63778.299375000002</v>
      </c>
      <c r="G40" s="15">
        <f t="shared" si="23"/>
        <v>63778.299375000002</v>
      </c>
      <c r="H40" s="15">
        <f t="shared" si="23"/>
        <v>63778.299375000002</v>
      </c>
      <c r="I40" s="15">
        <f t="shared" si="23"/>
        <v>63778.299375000002</v>
      </c>
      <c r="J40" s="15">
        <f t="shared" si="23"/>
        <v>67701.693281250002</v>
      </c>
      <c r="K40" s="15">
        <f t="shared" si="23"/>
        <v>67701.693281250002</v>
      </c>
      <c r="L40" s="15">
        <f t="shared" si="23"/>
        <v>67701.693281250002</v>
      </c>
      <c r="M40" s="15">
        <f t="shared" si="23"/>
        <v>67701.693281250002</v>
      </c>
      <c r="N40" s="15">
        <f>SUM(B40:M40)</f>
        <v>781033.16812499985</v>
      </c>
      <c r="O40" s="15">
        <f t="shared" si="23"/>
        <v>577471.66666666674</v>
      </c>
      <c r="P40" s="15">
        <f>(N40/O40-1)*100</f>
        <v>35.250474301769444</v>
      </c>
    </row>
    <row r="41" spans="1:16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6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6" hidden="1" x14ac:dyDescent="0.2">
      <c r="A43" s="6" t="s">
        <v>63</v>
      </c>
      <c r="B43" s="6">
        <f>B44+B45</f>
        <v>6500</v>
      </c>
      <c r="C43" s="6">
        <f t="shared" ref="C43:M43" si="24">C44+C45</f>
        <v>6500</v>
      </c>
      <c r="D43" s="6">
        <f t="shared" si="24"/>
        <v>6500</v>
      </c>
      <c r="E43" s="6">
        <f t="shared" si="24"/>
        <v>6500</v>
      </c>
      <c r="F43" s="6">
        <f t="shared" si="24"/>
        <v>6500</v>
      </c>
      <c r="G43" s="6">
        <f t="shared" si="24"/>
        <v>6500</v>
      </c>
      <c r="H43" s="6">
        <f t="shared" si="24"/>
        <v>6500</v>
      </c>
      <c r="I43" s="6">
        <f t="shared" si="24"/>
        <v>6500</v>
      </c>
      <c r="J43" s="6">
        <f t="shared" si="24"/>
        <v>6500</v>
      </c>
      <c r="K43" s="6">
        <f t="shared" si="24"/>
        <v>6500</v>
      </c>
      <c r="L43" s="6">
        <f t="shared" si="24"/>
        <v>6500</v>
      </c>
      <c r="M43" s="6">
        <f t="shared" si="24"/>
        <v>6500</v>
      </c>
      <c r="N43" s="6">
        <f>SUM(B43:M43)</f>
        <v>78000</v>
      </c>
      <c r="O43" s="6">
        <f>SUM(O44:O45)</f>
        <v>153862.66666666666</v>
      </c>
      <c r="P43" s="6">
        <f>(N43/O43-1)*100</f>
        <v>-49.305441215976153</v>
      </c>
    </row>
    <row r="44" spans="1:16" hidden="1" x14ac:dyDescent="0.2">
      <c r="A44" s="6" t="s">
        <v>69</v>
      </c>
      <c r="B44" s="6">
        <v>5000</v>
      </c>
      <c r="C44" s="6">
        <v>5000</v>
      </c>
      <c r="D44" s="6">
        <v>5000</v>
      </c>
      <c r="E44" s="6">
        <v>5000</v>
      </c>
      <c r="F44" s="6">
        <v>5000</v>
      </c>
      <c r="G44" s="6">
        <v>5000</v>
      </c>
      <c r="H44" s="6">
        <v>5000</v>
      </c>
      <c r="I44" s="6">
        <v>5000</v>
      </c>
      <c r="J44" s="6">
        <v>5000</v>
      </c>
      <c r="K44" s="6">
        <v>5000</v>
      </c>
      <c r="L44" s="6">
        <v>5000</v>
      </c>
      <c r="M44" s="6">
        <v>5000</v>
      </c>
      <c r="N44" s="6">
        <f>SUM(B44:M44)</f>
        <v>60000</v>
      </c>
      <c r="O44" s="6">
        <f>95126/9*12</f>
        <v>126834.66666666666</v>
      </c>
      <c r="P44" s="6">
        <v>40</v>
      </c>
    </row>
    <row r="45" spans="1:16" hidden="1" x14ac:dyDescent="0.2">
      <c r="A45" s="10" t="s">
        <v>65</v>
      </c>
      <c r="B45" s="6">
        <v>1500</v>
      </c>
      <c r="C45" s="6">
        <v>1500</v>
      </c>
      <c r="D45" s="6">
        <v>1500</v>
      </c>
      <c r="E45" s="6">
        <v>1500</v>
      </c>
      <c r="F45" s="6">
        <v>1500</v>
      </c>
      <c r="G45" s="6">
        <v>1500</v>
      </c>
      <c r="H45" s="6">
        <v>1500</v>
      </c>
      <c r="I45" s="6">
        <v>1500</v>
      </c>
      <c r="J45" s="6">
        <v>1500</v>
      </c>
      <c r="K45" s="6">
        <v>1500</v>
      </c>
      <c r="L45" s="6">
        <v>1500</v>
      </c>
      <c r="M45" s="6">
        <v>1500</v>
      </c>
      <c r="N45" s="6">
        <f>SUM(B45:M45)</f>
        <v>18000</v>
      </c>
      <c r="O45" s="6">
        <f>20271/9*12</f>
        <v>27028</v>
      </c>
      <c r="P45" s="6">
        <v>0</v>
      </c>
    </row>
    <row r="46" spans="1:16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6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6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6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6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6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6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6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6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6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6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6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6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6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6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6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6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6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</sheetData>
  <pageMargins left="0" right="0" top="0.39370078740157483" bottom="0.39370078740157483" header="0.31496062992125984" footer="0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>
      <selection activeCell="N3" sqref="N3"/>
    </sheetView>
  </sheetViews>
  <sheetFormatPr defaultColWidth="11.42578125" defaultRowHeight="12.75" x14ac:dyDescent="0.2"/>
  <cols>
    <col min="1" max="1" width="26.85546875" style="9" customWidth="1"/>
    <col min="2" max="5" width="8.7109375" style="9" customWidth="1"/>
    <col min="6" max="12" width="8.140625" style="9" customWidth="1"/>
    <col min="13" max="13" width="8.7109375" style="9" customWidth="1"/>
    <col min="14" max="14" width="10.28515625" style="9" customWidth="1"/>
    <col min="15" max="15" width="7.5703125" style="6" customWidth="1"/>
    <col min="16" max="16" width="7.7109375" style="6" customWidth="1"/>
    <col min="17" max="16384" width="11.42578125" style="9"/>
  </cols>
  <sheetData>
    <row r="1" spans="1:14" x14ac:dyDescent="0.2">
      <c r="C1" s="9" t="s">
        <v>70</v>
      </c>
    </row>
    <row r="3" spans="1:14" x14ac:dyDescent="0.2">
      <c r="A3" s="6"/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</v>
      </c>
    </row>
    <row r="4" spans="1:14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">
      <c r="A5" s="6" t="s">
        <v>38</v>
      </c>
      <c r="B5" s="15">
        <f>SUM(B6:B7)</f>
        <v>42583.333333333328</v>
      </c>
      <c r="C5" s="15">
        <f t="shared" ref="C5:M5" si="0">SUM(C6:C7)</f>
        <v>42583.333333333328</v>
      </c>
      <c r="D5" s="15">
        <f t="shared" si="0"/>
        <v>42583.333333333328</v>
      </c>
      <c r="E5" s="15">
        <f t="shared" si="0"/>
        <v>42583.333333333328</v>
      </c>
      <c r="F5" s="15">
        <f t="shared" si="0"/>
        <v>42583.333333333328</v>
      </c>
      <c r="G5" s="15">
        <f t="shared" si="0"/>
        <v>42583.333333333328</v>
      </c>
      <c r="H5" s="15">
        <f t="shared" si="0"/>
        <v>42583.333333333328</v>
      </c>
      <c r="I5" s="15">
        <f t="shared" si="0"/>
        <v>42583.333333333328</v>
      </c>
      <c r="J5" s="15">
        <f t="shared" si="0"/>
        <v>47470.833333333328</v>
      </c>
      <c r="K5" s="15">
        <f t="shared" si="0"/>
        <v>47470.833333333328</v>
      </c>
      <c r="L5" s="15">
        <f t="shared" si="0"/>
        <v>47470.833333333328</v>
      </c>
      <c r="M5" s="15">
        <f t="shared" si="0"/>
        <v>47470.833333333328</v>
      </c>
      <c r="N5" s="15">
        <f>SUM(B5:M5)</f>
        <v>530549.99999999988</v>
      </c>
    </row>
    <row r="6" spans="1:14" x14ac:dyDescent="0.2">
      <c r="A6" s="6" t="s">
        <v>71</v>
      </c>
      <c r="B6" s="15">
        <f>'tabela 9.4'!B6+'tabela 9.5'!B5</f>
        <v>32583.333333333332</v>
      </c>
      <c r="C6" s="15">
        <f>'tabela 9.4'!C6+'tabela 9.5'!C5</f>
        <v>32583.333333333332</v>
      </c>
      <c r="D6" s="15">
        <f>'tabela 9.4'!D6+'tabela 9.5'!D5</f>
        <v>32583.333333333332</v>
      </c>
      <c r="E6" s="15">
        <f>'tabela 9.4'!E6+'tabela 9.5'!E5</f>
        <v>32583.333333333332</v>
      </c>
      <c r="F6" s="15">
        <f>'tabela 9.4'!F6+'tabela 9.5'!F5</f>
        <v>32583.333333333332</v>
      </c>
      <c r="G6" s="15">
        <f>'tabela 9.4'!G6+'tabela 9.5'!G5</f>
        <v>32583.333333333332</v>
      </c>
      <c r="H6" s="15">
        <f>'tabela 9.4'!H6+'tabela 9.5'!H5</f>
        <v>32583.333333333332</v>
      </c>
      <c r="I6" s="15">
        <f>'tabela 9.4'!I6+'tabela 9.5'!I5</f>
        <v>32583.333333333332</v>
      </c>
      <c r="J6" s="15">
        <f>'tabela 9.4'!J6+'tabela 9.5'!J5</f>
        <v>37470.833333333328</v>
      </c>
      <c r="K6" s="15">
        <f>'tabela 9.4'!K6+'tabela 9.5'!K5</f>
        <v>37470.833333333328</v>
      </c>
      <c r="L6" s="15">
        <f>'tabela 9.4'!L6+'tabela 9.5'!L5</f>
        <v>37470.833333333328</v>
      </c>
      <c r="M6" s="15">
        <f>'tabela 9.4'!M6+'tabela 9.5'!M5</f>
        <v>37470.833333333328</v>
      </c>
      <c r="N6" s="15">
        <f>SUM(B6:M6)</f>
        <v>410549.99999999994</v>
      </c>
    </row>
    <row r="7" spans="1:14" x14ac:dyDescent="0.2">
      <c r="A7" s="6" t="s">
        <v>40</v>
      </c>
      <c r="B7" s="15">
        <f>'tabela 9.4'!B7+'tabela 9.5'!B6</f>
        <v>10000</v>
      </c>
      <c r="C7" s="15">
        <f>'tabela 9.4'!C7+'tabela 9.5'!C6</f>
        <v>10000</v>
      </c>
      <c r="D7" s="15">
        <f>'tabela 9.4'!D7+'tabela 9.5'!D6</f>
        <v>10000</v>
      </c>
      <c r="E7" s="15">
        <f>'tabela 9.4'!E7+'tabela 9.5'!E6</f>
        <v>10000</v>
      </c>
      <c r="F7" s="15">
        <f>'tabela 9.4'!F7+'tabela 9.5'!F6</f>
        <v>10000</v>
      </c>
      <c r="G7" s="15">
        <f>'tabela 9.4'!G7+'tabela 9.5'!G6</f>
        <v>10000</v>
      </c>
      <c r="H7" s="15">
        <f>'tabela 9.4'!H7+'tabela 9.5'!H6</f>
        <v>10000</v>
      </c>
      <c r="I7" s="15">
        <f>'tabela 9.4'!I7+'tabela 9.5'!I6</f>
        <v>10000</v>
      </c>
      <c r="J7" s="15">
        <f>'tabela 9.4'!J7+'tabela 9.5'!J6</f>
        <v>10000</v>
      </c>
      <c r="K7" s="15">
        <f>'tabela 9.4'!K7+'tabela 9.5'!K6</f>
        <v>10000</v>
      </c>
      <c r="L7" s="15">
        <f>'tabela 9.4'!L7+'tabela 9.5'!L6</f>
        <v>10000</v>
      </c>
      <c r="M7" s="15">
        <f>'tabela 9.4'!M7+'tabela 9.5'!M6</f>
        <v>10000</v>
      </c>
      <c r="N7" s="15">
        <f>SUM(B7:M7)</f>
        <v>120000</v>
      </c>
    </row>
    <row r="8" spans="1:14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">
      <c r="A9" s="6" t="s">
        <v>41</v>
      </c>
      <c r="B9" s="15">
        <f>SUM(B10:B15)</f>
        <v>26028.434375000001</v>
      </c>
      <c r="C9" s="15">
        <f t="shared" ref="C9:M9" si="1">SUM(C10:C15)</f>
        <v>26028.434375000001</v>
      </c>
      <c r="D9" s="15">
        <f t="shared" si="1"/>
        <v>26028.434375000001</v>
      </c>
      <c r="E9" s="15">
        <f t="shared" si="1"/>
        <v>26028.434375000001</v>
      </c>
      <c r="F9" s="15">
        <f t="shared" si="1"/>
        <v>26028.434375000001</v>
      </c>
      <c r="G9" s="15">
        <f t="shared" si="1"/>
        <v>26028.434375000001</v>
      </c>
      <c r="H9" s="15">
        <f t="shared" si="1"/>
        <v>26028.434375000001</v>
      </c>
      <c r="I9" s="15">
        <f t="shared" si="1"/>
        <v>26028.434375000001</v>
      </c>
      <c r="J9" s="15">
        <f t="shared" si="1"/>
        <v>28551.78953125</v>
      </c>
      <c r="K9" s="15">
        <f t="shared" si="1"/>
        <v>28551.78953125</v>
      </c>
      <c r="L9" s="15">
        <f t="shared" si="1"/>
        <v>28551.78953125</v>
      </c>
      <c r="M9" s="15">
        <f t="shared" si="1"/>
        <v>28551.78953125</v>
      </c>
      <c r="N9" s="15">
        <f t="shared" ref="N9:N15" si="2">SUM(B9:M9)</f>
        <v>322434.63312500005</v>
      </c>
    </row>
    <row r="10" spans="1:14" x14ac:dyDescent="0.2">
      <c r="A10" s="6" t="s">
        <v>42</v>
      </c>
      <c r="B10" s="15">
        <f>'tabela 9.4'!B10+'tabela 9.5'!B9</f>
        <v>10134.50277777778</v>
      </c>
      <c r="C10" s="15">
        <f>'tabela 9.4'!C10+'tabela 9.5'!C9</f>
        <v>10134.50277777778</v>
      </c>
      <c r="D10" s="15">
        <f>'tabela 9.4'!D10+'tabela 9.5'!D9</f>
        <v>10134.50277777778</v>
      </c>
      <c r="E10" s="15">
        <f>'tabela 9.4'!E10+'tabela 9.5'!E9</f>
        <v>10134.50277777778</v>
      </c>
      <c r="F10" s="15">
        <f>'tabela 9.4'!F10+'tabela 9.5'!F9</f>
        <v>10134.50277777778</v>
      </c>
      <c r="G10" s="15">
        <f>'tabela 9.4'!G10+'tabela 9.5'!G9</f>
        <v>10134.50277777778</v>
      </c>
      <c r="H10" s="15">
        <f>'tabela 9.4'!H10+'tabela 9.5'!H9</f>
        <v>10134.50277777778</v>
      </c>
      <c r="I10" s="15">
        <f>'tabela 9.4'!I10+'tabela 9.5'!I9</f>
        <v>10134.50277777778</v>
      </c>
      <c r="J10" s="15">
        <f>'tabela 9.4'!J10+'tabela 9.5'!J9</f>
        <v>11654.678194444445</v>
      </c>
      <c r="K10" s="15">
        <f>'tabela 9.4'!K10+'tabela 9.5'!K9</f>
        <v>11654.678194444445</v>
      </c>
      <c r="L10" s="15">
        <f>'tabela 9.4'!L10+'tabela 9.5'!L9</f>
        <v>11654.678194444445</v>
      </c>
      <c r="M10" s="15">
        <f>'tabela 9.4'!M10+'tabela 9.5'!M9</f>
        <v>11654.678194444445</v>
      </c>
      <c r="N10" s="15">
        <f t="shared" si="2"/>
        <v>127694.73500000004</v>
      </c>
    </row>
    <row r="11" spans="1:14" x14ac:dyDescent="0.2">
      <c r="A11" s="6" t="s">
        <v>43</v>
      </c>
      <c r="B11" s="15">
        <f>'tabela 9.4'!B11+'tabela 9.5'!B10</f>
        <v>3076.5454861111111</v>
      </c>
      <c r="C11" s="15">
        <f>'tabela 9.4'!C11+'tabela 9.5'!C10</f>
        <v>3076.5454861111111</v>
      </c>
      <c r="D11" s="15">
        <f>'tabela 9.4'!D11+'tabela 9.5'!D10</f>
        <v>3076.5454861111111</v>
      </c>
      <c r="E11" s="15">
        <f>'tabela 9.4'!E11+'tabela 9.5'!E10</f>
        <v>3076.5454861111111</v>
      </c>
      <c r="F11" s="15">
        <f>'tabela 9.4'!F11+'tabela 9.5'!F10</f>
        <v>3076.5454861111111</v>
      </c>
      <c r="G11" s="15">
        <f>'tabela 9.4'!G11+'tabela 9.5'!G10</f>
        <v>3076.5454861111111</v>
      </c>
      <c r="H11" s="15">
        <f>'tabela 9.4'!H11+'tabela 9.5'!H10</f>
        <v>3076.5454861111111</v>
      </c>
      <c r="I11" s="15">
        <f>'tabela 9.4'!I11+'tabela 9.5'!I10</f>
        <v>3076.5454861111111</v>
      </c>
      <c r="J11" s="15">
        <f>'tabela 9.4'!J11+'tabela 9.5'!J10</f>
        <v>3538.0273090277778</v>
      </c>
      <c r="K11" s="15">
        <f>'tabela 9.4'!K11+'tabela 9.5'!K10</f>
        <v>3538.0273090277778</v>
      </c>
      <c r="L11" s="15">
        <f>'tabela 9.4'!L11+'tabela 9.5'!L10</f>
        <v>3538.0273090277778</v>
      </c>
      <c r="M11" s="15">
        <f>'tabela 9.4'!M11+'tabela 9.5'!M10</f>
        <v>3538.0273090277778</v>
      </c>
      <c r="N11" s="15">
        <f t="shared" si="2"/>
        <v>38764.473124999997</v>
      </c>
    </row>
    <row r="12" spans="1:14" x14ac:dyDescent="0.2">
      <c r="A12" s="6" t="s">
        <v>68</v>
      </c>
      <c r="B12" s="15">
        <f>'tabela 9.4'!B12+'tabela 9.5'!B11+'tabela 9.4'!B18</f>
        <v>8172.7333333333327</v>
      </c>
      <c r="C12" s="15">
        <f>'tabela 9.4'!C12+'tabela 9.5'!C11+'tabela 9.4'!C18</f>
        <v>8172.7333333333327</v>
      </c>
      <c r="D12" s="15">
        <f>'tabela 9.4'!D12+'tabela 9.5'!D11+'tabela 9.4'!D18</f>
        <v>8172.7333333333327</v>
      </c>
      <c r="E12" s="15">
        <f>'tabela 9.4'!E12+'tabela 9.5'!E11+'tabela 9.4'!E18</f>
        <v>8172.7333333333327</v>
      </c>
      <c r="F12" s="15">
        <f>'tabela 9.4'!F12+'tabela 9.5'!F11+'tabela 9.4'!F18</f>
        <v>8172.7333333333327</v>
      </c>
      <c r="G12" s="15">
        <f>'tabela 9.4'!G12+'tabela 9.5'!G11+'tabela 9.4'!G18</f>
        <v>8172.7333333333327</v>
      </c>
      <c r="H12" s="15">
        <f>'tabela 9.4'!H12+'tabela 9.5'!H11+'tabela 9.4'!H18</f>
        <v>8172.7333333333327</v>
      </c>
      <c r="I12" s="15">
        <f>'tabela 9.4'!I12+'tabela 9.5'!I11+'tabela 9.4'!I18</f>
        <v>8172.7333333333327</v>
      </c>
      <c r="J12" s="15">
        <f>'tabela 9.4'!J12+'tabela 9.5'!J11+'tabela 9.4'!J18</f>
        <v>8172.7333333333327</v>
      </c>
      <c r="K12" s="15">
        <f>'tabela 9.4'!K12+'tabela 9.5'!K11+'tabela 9.4'!K18</f>
        <v>8172.7333333333327</v>
      </c>
      <c r="L12" s="15">
        <f>'tabela 9.4'!L12+'tabela 9.5'!L11+'tabela 9.4'!L18</f>
        <v>8172.7333333333327</v>
      </c>
      <c r="M12" s="15">
        <f>'tabela 9.4'!M12+'tabela 9.5'!M11+'tabela 9.4'!M18</f>
        <v>8172.7333333333327</v>
      </c>
      <c r="N12" s="15">
        <f t="shared" si="2"/>
        <v>98072.8</v>
      </c>
    </row>
    <row r="13" spans="1:14" x14ac:dyDescent="0.2">
      <c r="A13" s="6" t="s">
        <v>45</v>
      </c>
      <c r="B13" s="15">
        <f>'tabela 9.4'!B13+'tabela 9.5'!B12</f>
        <v>896.04166666666663</v>
      </c>
      <c r="C13" s="15">
        <f>'tabela 9.4'!C13+'tabela 9.5'!C12</f>
        <v>896.04166666666663</v>
      </c>
      <c r="D13" s="15">
        <f>'tabela 9.4'!D13+'tabela 9.5'!D12</f>
        <v>896.04166666666663</v>
      </c>
      <c r="E13" s="15">
        <f>'tabela 9.4'!E13+'tabela 9.5'!E12</f>
        <v>896.04166666666663</v>
      </c>
      <c r="F13" s="15">
        <f>'tabela 9.4'!F13+'tabela 9.5'!F12</f>
        <v>896.04166666666663</v>
      </c>
      <c r="G13" s="15">
        <f>'tabela 9.4'!G13+'tabela 9.5'!G12</f>
        <v>896.04166666666663</v>
      </c>
      <c r="H13" s="15">
        <f>'tabela 9.4'!H13+'tabela 9.5'!H12</f>
        <v>896.04166666666663</v>
      </c>
      <c r="I13" s="15">
        <f>'tabela 9.4'!I13+'tabela 9.5'!I12</f>
        <v>896.04166666666663</v>
      </c>
      <c r="J13" s="15">
        <f>'tabela 9.4'!J13+'tabela 9.5'!J12</f>
        <v>1030.4479166666665</v>
      </c>
      <c r="K13" s="15">
        <f>'tabela 9.4'!K13+'tabela 9.5'!K12</f>
        <v>1030.4479166666665</v>
      </c>
      <c r="L13" s="15">
        <f>'tabela 9.4'!L13+'tabela 9.5'!L12</f>
        <v>1030.4479166666665</v>
      </c>
      <c r="M13" s="15">
        <f>'tabela 9.4'!M13+'tabela 9.5'!M12</f>
        <v>1030.4479166666665</v>
      </c>
      <c r="N13" s="15">
        <f t="shared" si="2"/>
        <v>11290.124999999998</v>
      </c>
    </row>
    <row r="14" spans="1:14" x14ac:dyDescent="0.2">
      <c r="A14" s="6" t="s">
        <v>46</v>
      </c>
      <c r="B14" s="15">
        <f>'tabela 9.4'!B14+'tabela 9.5'!B13</f>
        <v>2715.2777777777774</v>
      </c>
      <c r="C14" s="15">
        <f>'tabela 9.4'!C14+'tabela 9.5'!C13</f>
        <v>2715.2777777777774</v>
      </c>
      <c r="D14" s="15">
        <f>'tabela 9.4'!D14+'tabela 9.5'!D13</f>
        <v>2715.2777777777774</v>
      </c>
      <c r="E14" s="15">
        <f>'tabela 9.4'!E14+'tabela 9.5'!E13</f>
        <v>2715.2777777777774</v>
      </c>
      <c r="F14" s="15">
        <f>'tabela 9.4'!F14+'tabela 9.5'!F13</f>
        <v>2715.2777777777774</v>
      </c>
      <c r="G14" s="15">
        <f>'tabela 9.4'!G14+'tabela 9.5'!G13</f>
        <v>2715.2777777777774</v>
      </c>
      <c r="H14" s="15">
        <f>'tabela 9.4'!H14+'tabela 9.5'!H13</f>
        <v>2715.2777777777774</v>
      </c>
      <c r="I14" s="15">
        <f>'tabela 9.4'!I14+'tabela 9.5'!I13</f>
        <v>2715.2777777777774</v>
      </c>
      <c r="J14" s="15">
        <f>'tabela 9.4'!J14+'tabela 9.5'!J13</f>
        <v>3122.5694444444443</v>
      </c>
      <c r="K14" s="15">
        <f>'tabela 9.4'!K14+'tabela 9.5'!K13</f>
        <v>3122.5694444444443</v>
      </c>
      <c r="L14" s="15">
        <f>'tabela 9.4'!L14+'tabela 9.5'!L13</f>
        <v>3122.5694444444443</v>
      </c>
      <c r="M14" s="15">
        <f>'tabela 9.4'!M14+'tabela 9.5'!M13</f>
        <v>3122.5694444444443</v>
      </c>
      <c r="N14" s="15">
        <f t="shared" si="2"/>
        <v>34212.5</v>
      </c>
    </row>
    <row r="15" spans="1:14" x14ac:dyDescent="0.2">
      <c r="A15" s="6" t="s">
        <v>47</v>
      </c>
      <c r="B15" s="15">
        <f>'tabela 9.4'!B15+'tabela 9.5'!B14</f>
        <v>1033.3333333333333</v>
      </c>
      <c r="C15" s="15">
        <f>'tabela 9.4'!C15+'tabela 9.5'!C14</f>
        <v>1033.3333333333333</v>
      </c>
      <c r="D15" s="15">
        <f>'tabela 9.4'!D15+'tabela 9.5'!D14</f>
        <v>1033.3333333333333</v>
      </c>
      <c r="E15" s="15">
        <f>'tabela 9.4'!E15+'tabela 9.5'!E14</f>
        <v>1033.3333333333333</v>
      </c>
      <c r="F15" s="15">
        <f>'tabela 9.4'!F15+'tabela 9.5'!F14</f>
        <v>1033.3333333333333</v>
      </c>
      <c r="G15" s="15">
        <f>'tabela 9.4'!G15+'tabela 9.5'!G14</f>
        <v>1033.3333333333333</v>
      </c>
      <c r="H15" s="15">
        <f>'tabela 9.4'!H15+'tabela 9.5'!H14</f>
        <v>1033.3333333333333</v>
      </c>
      <c r="I15" s="15">
        <f>'tabela 9.4'!I15+'tabela 9.5'!I14</f>
        <v>1033.3333333333333</v>
      </c>
      <c r="J15" s="15">
        <f>'tabela 9.4'!J15+'tabela 9.5'!J14</f>
        <v>1033.3333333333333</v>
      </c>
      <c r="K15" s="15">
        <f>'tabela 9.4'!K15+'tabela 9.5'!K14</f>
        <v>1033.3333333333333</v>
      </c>
      <c r="L15" s="15">
        <f>'tabela 9.4'!L15+'tabela 9.5'!L14</f>
        <v>1033.3333333333333</v>
      </c>
      <c r="M15" s="15">
        <f>'tabela 9.4'!M15+'tabela 9.5'!M14</f>
        <v>1033.3333333333333</v>
      </c>
      <c r="N15" s="15">
        <f t="shared" si="2"/>
        <v>12400.000000000002</v>
      </c>
    </row>
    <row r="16" spans="1:14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6" t="s">
        <v>48</v>
      </c>
      <c r="B17" s="15">
        <f>B18+B19</f>
        <v>3434.5666666666666</v>
      </c>
      <c r="C17" s="15">
        <f t="shared" ref="C17:M17" si="3">C18+C19</f>
        <v>3434.5666666666666</v>
      </c>
      <c r="D17" s="15">
        <f t="shared" si="3"/>
        <v>3434.5666666666666</v>
      </c>
      <c r="E17" s="15">
        <f t="shared" si="3"/>
        <v>3434.5666666666666</v>
      </c>
      <c r="F17" s="15">
        <f t="shared" si="3"/>
        <v>3434.5666666666666</v>
      </c>
      <c r="G17" s="15">
        <f t="shared" si="3"/>
        <v>3434.5666666666666</v>
      </c>
      <c r="H17" s="15">
        <f t="shared" si="3"/>
        <v>3434.5666666666666</v>
      </c>
      <c r="I17" s="15">
        <f t="shared" si="3"/>
        <v>3434.5666666666666</v>
      </c>
      <c r="J17" s="15">
        <f t="shared" si="3"/>
        <v>3434.5666666666666</v>
      </c>
      <c r="K17" s="15">
        <f t="shared" si="3"/>
        <v>3434.5666666666666</v>
      </c>
      <c r="L17" s="15">
        <f t="shared" si="3"/>
        <v>3434.5666666666666</v>
      </c>
      <c r="M17" s="15">
        <f t="shared" si="3"/>
        <v>3434.5666666666666</v>
      </c>
      <c r="N17" s="15">
        <f>SUM(B17:M17)</f>
        <v>41214.799999999996</v>
      </c>
    </row>
    <row r="18" spans="1:14" x14ac:dyDescent="0.2">
      <c r="A18" s="6" t="s">
        <v>50</v>
      </c>
      <c r="B18" s="15">
        <f>'tabela 9.4'!B19+'tabela 9.5'!B17</f>
        <v>684.56666666666672</v>
      </c>
      <c r="C18" s="15">
        <f>'tabela 9.4'!C19+'tabela 9.5'!C17</f>
        <v>684.56666666666672</v>
      </c>
      <c r="D18" s="15">
        <f>'tabela 9.4'!D19+'tabela 9.5'!D17</f>
        <v>684.56666666666672</v>
      </c>
      <c r="E18" s="15">
        <f>'tabela 9.4'!E19+'tabela 9.5'!E17</f>
        <v>684.56666666666672</v>
      </c>
      <c r="F18" s="15">
        <f>'tabela 9.4'!F19+'tabela 9.5'!F17</f>
        <v>684.56666666666672</v>
      </c>
      <c r="G18" s="15">
        <f>'tabela 9.4'!G19+'tabela 9.5'!G17</f>
        <v>684.56666666666672</v>
      </c>
      <c r="H18" s="15">
        <f>'tabela 9.4'!H19+'tabela 9.5'!H17</f>
        <v>684.56666666666672</v>
      </c>
      <c r="I18" s="15">
        <f>'tabela 9.4'!I19+'tabela 9.5'!I17</f>
        <v>684.56666666666672</v>
      </c>
      <c r="J18" s="15">
        <f>'tabela 9.4'!J19+'tabela 9.5'!J17</f>
        <v>684.56666666666672</v>
      </c>
      <c r="K18" s="15">
        <f>'tabela 9.4'!K19+'tabela 9.5'!K17</f>
        <v>684.56666666666672</v>
      </c>
      <c r="L18" s="15">
        <f>'tabela 9.4'!L19+'tabela 9.5'!L17</f>
        <v>684.56666666666672</v>
      </c>
      <c r="M18" s="15">
        <f>'tabela 9.4'!M19+'tabela 9.5'!M17</f>
        <v>684.56666666666672</v>
      </c>
      <c r="N18" s="15">
        <f>SUM(B18:M18)</f>
        <v>8214.8000000000011</v>
      </c>
    </row>
    <row r="19" spans="1:14" x14ac:dyDescent="0.2">
      <c r="A19" s="6" t="s">
        <v>51</v>
      </c>
      <c r="B19" s="15">
        <f>'tabela 9.4'!B20+'tabela 9.5'!B18</f>
        <v>2750</v>
      </c>
      <c r="C19" s="15">
        <f>'tabela 9.4'!C20+'tabela 9.5'!C18</f>
        <v>2750</v>
      </c>
      <c r="D19" s="15">
        <f>'tabela 9.4'!D20+'tabela 9.5'!D18</f>
        <v>2750</v>
      </c>
      <c r="E19" s="15">
        <f>'tabela 9.4'!E20+'tabela 9.5'!E18</f>
        <v>2750</v>
      </c>
      <c r="F19" s="15">
        <f>'tabela 9.4'!F20+'tabela 9.5'!F18</f>
        <v>2750</v>
      </c>
      <c r="G19" s="15">
        <f>'tabela 9.4'!G20+'tabela 9.5'!G18</f>
        <v>2750</v>
      </c>
      <c r="H19" s="15">
        <f>'tabela 9.4'!H20+'tabela 9.5'!H18</f>
        <v>2750</v>
      </c>
      <c r="I19" s="15">
        <f>'tabela 9.4'!I20+'tabela 9.5'!I18</f>
        <v>2750</v>
      </c>
      <c r="J19" s="15">
        <f>'tabela 9.4'!J20+'tabela 9.5'!J18</f>
        <v>2750</v>
      </c>
      <c r="K19" s="15">
        <f>'tabela 9.4'!K20+'tabela 9.5'!K18</f>
        <v>2750</v>
      </c>
      <c r="L19" s="15">
        <f>'tabela 9.4'!L20+'tabela 9.5'!L18</f>
        <v>2750</v>
      </c>
      <c r="M19" s="15">
        <f>'tabela 9.4'!M20+'tabela 9.5'!M18</f>
        <v>2750</v>
      </c>
      <c r="N19" s="15">
        <f>SUM(B19:M19)</f>
        <v>33000</v>
      </c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6" t="s">
        <v>52</v>
      </c>
      <c r="B21" s="15">
        <f>B17+B9+B5</f>
        <v>72046.334374999991</v>
      </c>
      <c r="C21" s="15">
        <f t="shared" ref="C21:N21" si="4">C17+C9+C5</f>
        <v>72046.334374999991</v>
      </c>
      <c r="D21" s="15">
        <f t="shared" si="4"/>
        <v>72046.334374999991</v>
      </c>
      <c r="E21" s="15">
        <f t="shared" si="4"/>
        <v>72046.334374999991</v>
      </c>
      <c r="F21" s="15">
        <f t="shared" si="4"/>
        <v>72046.334374999991</v>
      </c>
      <c r="G21" s="15">
        <f t="shared" si="4"/>
        <v>72046.334374999991</v>
      </c>
      <c r="H21" s="15">
        <f t="shared" si="4"/>
        <v>72046.334374999991</v>
      </c>
      <c r="I21" s="15">
        <f t="shared" si="4"/>
        <v>72046.334374999991</v>
      </c>
      <c r="J21" s="15">
        <f t="shared" si="4"/>
        <v>79457.189531249998</v>
      </c>
      <c r="K21" s="15">
        <f t="shared" si="4"/>
        <v>79457.189531249998</v>
      </c>
      <c r="L21" s="15">
        <f t="shared" si="4"/>
        <v>79457.189531249998</v>
      </c>
      <c r="M21" s="15">
        <f t="shared" si="4"/>
        <v>79457.189531249998</v>
      </c>
      <c r="N21" s="15">
        <f t="shared" si="4"/>
        <v>894199.43312499998</v>
      </c>
    </row>
    <row r="22" spans="1:1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6" t="s">
        <v>53</v>
      </c>
      <c r="B23" s="15">
        <f>'tabela 9.4'!B24+'tabela 9.5'!B22</f>
        <v>13191.666666666664</v>
      </c>
      <c r="C23" s="15">
        <f>'tabela 9.4'!C24+'tabela 9.5'!C22</f>
        <v>13191.666666666664</v>
      </c>
      <c r="D23" s="15">
        <f>'tabela 9.4'!D24+'tabela 9.5'!D22</f>
        <v>13191.666666666664</v>
      </c>
      <c r="E23" s="15">
        <f>'tabela 9.4'!E24+'tabela 9.5'!E22</f>
        <v>13191.666666666664</v>
      </c>
      <c r="F23" s="15">
        <f>'tabela 9.4'!F24+'tabela 9.5'!F22</f>
        <v>13191.666666666664</v>
      </c>
      <c r="G23" s="15">
        <f>'tabela 9.4'!G24+'tabela 9.5'!G22</f>
        <v>13191.666666666664</v>
      </c>
      <c r="H23" s="15">
        <f>'tabela 9.4'!H24+'tabela 9.5'!H22</f>
        <v>13191.666666666664</v>
      </c>
      <c r="I23" s="15">
        <f>'tabela 9.4'!I24+'tabela 9.5'!I22</f>
        <v>13191.666666666664</v>
      </c>
      <c r="J23" s="15">
        <f>'tabela 9.4'!J24+'tabela 9.5'!J22</f>
        <v>13191.666666666664</v>
      </c>
      <c r="K23" s="15">
        <f>'tabela 9.4'!K24+'tabela 9.5'!K22</f>
        <v>13191.666666666664</v>
      </c>
      <c r="L23" s="15">
        <f>'tabela 9.4'!L24+'tabela 9.5'!L22</f>
        <v>13191.666666666664</v>
      </c>
      <c r="M23" s="15">
        <f>'tabela 9.4'!M24+'tabela 9.5'!M22</f>
        <v>13191.666666666664</v>
      </c>
      <c r="N23" s="15">
        <f t="shared" ref="N23:N35" si="5">SUM(B23:M23)</f>
        <v>158299.99999999991</v>
      </c>
    </row>
    <row r="24" spans="1: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6" t="s">
        <v>54</v>
      </c>
      <c r="B25" s="15">
        <f>'tabela 9.4'!B26+'tabela 9.5'!B24</f>
        <v>8897.9611111111117</v>
      </c>
      <c r="C25" s="15">
        <f>'tabela 9.4'!C26+'tabela 9.5'!C24</f>
        <v>8897.9611111111117</v>
      </c>
      <c r="D25" s="15">
        <f>'tabela 9.4'!D26+'tabela 9.5'!D24</f>
        <v>8897.9611111111117</v>
      </c>
      <c r="E25" s="15">
        <f>'tabela 9.4'!E26+'tabela 9.5'!E24</f>
        <v>8897.9611111111117</v>
      </c>
      <c r="F25" s="15">
        <f>'tabela 9.4'!F26+'tabela 9.5'!F24</f>
        <v>8897.9611111111117</v>
      </c>
      <c r="G25" s="15">
        <f>'tabela 9.4'!G26+'tabela 9.5'!G24</f>
        <v>8897.9611111111117</v>
      </c>
      <c r="H25" s="15">
        <f>'tabela 9.4'!H26+'tabela 9.5'!H24</f>
        <v>8897.9611111111117</v>
      </c>
      <c r="I25" s="15">
        <f>'tabela 9.4'!I26+'tabela 9.5'!I24</f>
        <v>8897.9611111111117</v>
      </c>
      <c r="J25" s="15">
        <f>'tabela 9.4'!J26+'tabela 9.5'!J24</f>
        <v>8897.9611111111117</v>
      </c>
      <c r="K25" s="15">
        <f>'tabela 9.4'!K26+'tabela 9.5'!K24</f>
        <v>8897.9611111111117</v>
      </c>
      <c r="L25" s="15">
        <f>'tabela 9.4'!L26+'tabela 9.5'!L24</f>
        <v>8897.9611111111117</v>
      </c>
      <c r="M25" s="15">
        <f>'tabela 9.4'!M26+'tabela 9.5'!M24</f>
        <v>8897.9611111111117</v>
      </c>
      <c r="N25" s="15">
        <f t="shared" si="5"/>
        <v>106775.53333333337</v>
      </c>
    </row>
    <row r="26" spans="1:1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6" t="s">
        <v>55</v>
      </c>
      <c r="B27" s="15">
        <f>'tabela 9.4'!B28+'tabela 9.5'!B26</f>
        <v>3103.7333333333331</v>
      </c>
      <c r="C27" s="15">
        <f>'tabela 9.4'!C28+'tabela 9.5'!C26</f>
        <v>3103.7333333333331</v>
      </c>
      <c r="D27" s="15">
        <f>'tabela 9.4'!D28+'tabela 9.5'!D26</f>
        <v>3103.7333333333331</v>
      </c>
      <c r="E27" s="15">
        <f>'tabela 9.4'!E28+'tabela 9.5'!E26</f>
        <v>3103.7333333333331</v>
      </c>
      <c r="F27" s="15">
        <f>'tabela 9.4'!F28+'tabela 9.5'!F26</f>
        <v>3103.7333333333331</v>
      </c>
      <c r="G27" s="15">
        <f>'tabela 9.4'!G28+'tabela 9.5'!G26</f>
        <v>3103.7333333333331</v>
      </c>
      <c r="H27" s="15">
        <f>'tabela 9.4'!H28+'tabela 9.5'!H26</f>
        <v>3103.7333333333331</v>
      </c>
      <c r="I27" s="15">
        <f>'tabela 9.4'!I28+'tabela 9.5'!I26</f>
        <v>3103.7333333333331</v>
      </c>
      <c r="J27" s="15">
        <f>'tabela 9.4'!J28+'tabela 9.5'!J26</f>
        <v>3103.7333333333331</v>
      </c>
      <c r="K27" s="15">
        <f>'tabela 9.4'!K28+'tabela 9.5'!K26</f>
        <v>3103.7333333333331</v>
      </c>
      <c r="L27" s="15">
        <f>'tabela 9.4'!L28+'tabela 9.5'!L26</f>
        <v>3103.7333333333331</v>
      </c>
      <c r="M27" s="15">
        <f>'tabela 9.4'!M28+'tabela 9.5'!M26</f>
        <v>3103.7333333333331</v>
      </c>
      <c r="N27" s="15">
        <f t="shared" si="5"/>
        <v>37244.799999999996</v>
      </c>
    </row>
    <row r="28" spans="1:1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A29" s="6" t="s">
        <v>56</v>
      </c>
      <c r="B29" s="15">
        <f>'tabela 9.4'!B30+'tabela 9.5'!B28</f>
        <v>6266.5122222222226</v>
      </c>
      <c r="C29" s="15">
        <f>'tabela 9.4'!C30+'tabela 9.5'!C28</f>
        <v>6266.5122222222226</v>
      </c>
      <c r="D29" s="15">
        <f>'tabela 9.4'!D30+'tabela 9.5'!D28</f>
        <v>6266.5122222222226</v>
      </c>
      <c r="E29" s="15">
        <f>'tabela 9.4'!E30+'tabela 9.5'!E28</f>
        <v>6266.5122222222226</v>
      </c>
      <c r="F29" s="15">
        <f>'tabela 9.4'!F30+'tabela 9.5'!F28</f>
        <v>6266.5122222222226</v>
      </c>
      <c r="G29" s="15">
        <f>'tabela 9.4'!G30+'tabela 9.5'!G28</f>
        <v>6266.5122222222226</v>
      </c>
      <c r="H29" s="15">
        <f>'tabela 9.4'!H30+'tabela 9.5'!H28</f>
        <v>6266.5122222222226</v>
      </c>
      <c r="I29" s="15">
        <f>'tabela 9.4'!I30+'tabela 9.5'!I28</f>
        <v>6266.5122222222226</v>
      </c>
      <c r="J29" s="15">
        <f>'tabela 9.4'!J30+'tabela 9.5'!J28</f>
        <v>6266.5122222222226</v>
      </c>
      <c r="K29" s="15">
        <f>'tabela 9.4'!K30+'tabela 9.5'!K28</f>
        <v>6266.5122222222226</v>
      </c>
      <c r="L29" s="15">
        <f>'tabela 9.4'!L30+'tabela 9.5'!L28</f>
        <v>6266.5122222222226</v>
      </c>
      <c r="M29" s="15">
        <f>'tabela 9.4'!M30+'tabela 9.5'!M28</f>
        <v>6266.5122222222226</v>
      </c>
      <c r="N29" s="15">
        <f t="shared" si="5"/>
        <v>75198.146666666667</v>
      </c>
    </row>
    <row r="30" spans="1:1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A31" s="6" t="s">
        <v>57</v>
      </c>
      <c r="B31" s="15">
        <f>'tabela 9.4'!B32+'tabela 9.5'!B30</f>
        <v>11762.4</v>
      </c>
      <c r="C31" s="15">
        <f>'tabela 9.4'!C32+'tabela 9.5'!C30</f>
        <v>11762.4</v>
      </c>
      <c r="D31" s="15">
        <f>'tabela 9.4'!D32+'tabela 9.5'!D30</f>
        <v>11762.4</v>
      </c>
      <c r="E31" s="15">
        <f>'tabela 9.4'!E32+'tabela 9.5'!E30</f>
        <v>11762.4</v>
      </c>
      <c r="F31" s="15">
        <f>'tabela 9.4'!F32+'tabela 9.5'!F30</f>
        <v>11762.4</v>
      </c>
      <c r="G31" s="15">
        <f>'tabela 9.4'!G32+'tabela 9.5'!G30</f>
        <v>11762.4</v>
      </c>
      <c r="H31" s="15">
        <f>'tabela 9.4'!H32+'tabela 9.5'!H30</f>
        <v>11762.4</v>
      </c>
      <c r="I31" s="15">
        <f>'tabela 9.4'!I32+'tabela 9.5'!I30</f>
        <v>11762.4</v>
      </c>
      <c r="J31" s="15">
        <f>'tabela 9.4'!J32+'tabela 9.5'!J30</f>
        <v>11762.4</v>
      </c>
      <c r="K31" s="15">
        <f>'tabela 9.4'!K32+'tabela 9.5'!K30</f>
        <v>11762.4</v>
      </c>
      <c r="L31" s="15">
        <f>'tabela 9.4'!L32+'tabela 9.5'!L30</f>
        <v>11762.4</v>
      </c>
      <c r="M31" s="15">
        <f>'tabela 9.4'!M32+'tabela 9.5'!M30</f>
        <v>11762.4</v>
      </c>
      <c r="N31" s="15">
        <f t="shared" si="5"/>
        <v>141148.79999999996</v>
      </c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6" t="s">
        <v>58</v>
      </c>
      <c r="B33" s="15">
        <f>'tabela 9.4'!B34+'tabela 9.5'!B32</f>
        <v>4292.3666666666668</v>
      </c>
      <c r="C33" s="15">
        <f>'tabela 9.4'!C34+'tabela 9.5'!C32</f>
        <v>4292.3666666666668</v>
      </c>
      <c r="D33" s="15">
        <f>'tabela 9.4'!D34+'tabela 9.5'!D32</f>
        <v>4292.3666666666668</v>
      </c>
      <c r="E33" s="15">
        <f>'tabela 9.4'!E34+'tabela 9.5'!E32</f>
        <v>4292.3666666666668</v>
      </c>
      <c r="F33" s="15">
        <f>'tabela 9.4'!F34+'tabela 9.5'!F32</f>
        <v>4292.3666666666668</v>
      </c>
      <c r="G33" s="15">
        <f>'tabela 9.4'!G34+'tabela 9.5'!G32</f>
        <v>4292.3666666666668</v>
      </c>
      <c r="H33" s="15">
        <f>'tabela 9.4'!H34+'tabela 9.5'!H32</f>
        <v>4292.3666666666668</v>
      </c>
      <c r="I33" s="15">
        <f>'tabela 9.4'!I34+'tabela 9.5'!I32</f>
        <v>4292.3666666666668</v>
      </c>
      <c r="J33" s="15">
        <f>'tabela 9.4'!J34+'tabela 9.5'!J32</f>
        <v>4292.3666666666668</v>
      </c>
      <c r="K33" s="15">
        <f>'tabela 9.4'!K34+'tabela 9.5'!K32</f>
        <v>4292.3666666666668</v>
      </c>
      <c r="L33" s="15">
        <f>'tabela 9.4'!L34+'tabela 9.5'!L32</f>
        <v>4292.3666666666668</v>
      </c>
      <c r="M33" s="15">
        <f>'tabela 9.4'!M34+'tabela 9.5'!M32</f>
        <v>4292.3666666666668</v>
      </c>
      <c r="N33" s="15">
        <f t="shared" si="5"/>
        <v>51508.400000000016</v>
      </c>
    </row>
    <row r="34" spans="1:1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6" t="s">
        <v>59</v>
      </c>
      <c r="B35" s="15">
        <f>'tabela 9.4'!B36+'tabela 9.5'!B34</f>
        <v>19700.466666666667</v>
      </c>
      <c r="C35" s="15">
        <f>'tabela 9.4'!C36+'tabela 9.5'!C34</f>
        <v>19700.466666666667</v>
      </c>
      <c r="D35" s="15">
        <f>'tabela 9.4'!D36+'tabela 9.5'!D34</f>
        <v>19700.466666666667</v>
      </c>
      <c r="E35" s="15">
        <f>'tabela 9.4'!E36+'tabela 9.5'!E34</f>
        <v>19700.466666666667</v>
      </c>
      <c r="F35" s="15">
        <f>'tabela 9.4'!F36+'tabela 9.5'!F34</f>
        <v>19700.466666666667</v>
      </c>
      <c r="G35" s="15">
        <f>'tabela 9.4'!G36+'tabela 9.5'!G34</f>
        <v>19700.466666666667</v>
      </c>
      <c r="H35" s="15">
        <f>'tabela 9.4'!H36+'tabela 9.5'!H34</f>
        <v>19700.466666666667</v>
      </c>
      <c r="I35" s="15">
        <f>'tabela 9.4'!I36+'tabela 9.5'!I34</f>
        <v>19700.466666666667</v>
      </c>
      <c r="J35" s="15">
        <f>'tabela 9.4'!J36+'tabela 9.5'!J34</f>
        <v>19700.466666666667</v>
      </c>
      <c r="K35" s="15">
        <f>'tabela 9.4'!K36+'tabela 9.5'!K34</f>
        <v>19700.466666666667</v>
      </c>
      <c r="L35" s="15">
        <f>'tabela 9.4'!L36+'tabela 9.5'!L34</f>
        <v>19700.466666666667</v>
      </c>
      <c r="M35" s="15">
        <f>'tabela 9.4'!M36+'tabela 9.5'!M34</f>
        <v>19700.466666666667</v>
      </c>
      <c r="N35" s="15">
        <f t="shared" si="5"/>
        <v>236405.60000000006</v>
      </c>
    </row>
    <row r="36" spans="1:1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6" t="s">
        <v>60</v>
      </c>
      <c r="B37" s="15">
        <f>B23+B25+B27+B29+B31+B33+B35</f>
        <v>67215.106666666659</v>
      </c>
      <c r="C37" s="15">
        <f t="shared" ref="C37:N37" si="6">C23+C25+C27+C29+C31+C33+C35</f>
        <v>67215.106666666659</v>
      </c>
      <c r="D37" s="15">
        <f t="shared" si="6"/>
        <v>67215.106666666659</v>
      </c>
      <c r="E37" s="15">
        <f t="shared" si="6"/>
        <v>67215.106666666659</v>
      </c>
      <c r="F37" s="15">
        <f t="shared" si="6"/>
        <v>67215.106666666659</v>
      </c>
      <c r="G37" s="15">
        <f t="shared" si="6"/>
        <v>67215.106666666659</v>
      </c>
      <c r="H37" s="15">
        <f t="shared" si="6"/>
        <v>67215.106666666659</v>
      </c>
      <c r="I37" s="15">
        <f t="shared" si="6"/>
        <v>67215.106666666659</v>
      </c>
      <c r="J37" s="15">
        <f t="shared" si="6"/>
        <v>67215.106666666659</v>
      </c>
      <c r="K37" s="15">
        <f t="shared" si="6"/>
        <v>67215.106666666659</v>
      </c>
      <c r="L37" s="15">
        <f t="shared" si="6"/>
        <v>67215.106666666659</v>
      </c>
      <c r="M37" s="15">
        <f t="shared" si="6"/>
        <v>67215.106666666659</v>
      </c>
      <c r="N37" s="15">
        <f t="shared" si="6"/>
        <v>806581.28</v>
      </c>
    </row>
    <row r="38" spans="1:1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6" t="s">
        <v>61</v>
      </c>
      <c r="B39" s="15">
        <f>'tabela 9.4'!B40+'tabela 9.5'!B38</f>
        <v>5687</v>
      </c>
      <c r="C39" s="15">
        <f>'tabela 9.4'!C40+'tabela 9.5'!C38</f>
        <v>5687</v>
      </c>
      <c r="D39" s="15">
        <f>'tabela 9.4'!D40+'tabela 9.5'!D38</f>
        <v>5687</v>
      </c>
      <c r="E39" s="15">
        <f>'tabela 9.4'!E40+'tabela 9.5'!E38</f>
        <v>5687</v>
      </c>
      <c r="F39" s="15">
        <f>'tabela 9.4'!F40+'tabela 9.5'!F38</f>
        <v>5687</v>
      </c>
      <c r="G39" s="15">
        <f>'tabela 9.4'!G40+'tabela 9.5'!G38</f>
        <v>5687</v>
      </c>
      <c r="H39" s="15">
        <f>'tabela 9.4'!H40+'tabela 9.5'!H38</f>
        <v>5687</v>
      </c>
      <c r="I39" s="15">
        <f>'tabela 9.4'!I40+'tabela 9.5'!I38</f>
        <v>5687</v>
      </c>
      <c r="J39" s="15">
        <f>'tabela 9.4'!J40+'tabela 9.5'!J38</f>
        <v>5687</v>
      </c>
      <c r="K39" s="15">
        <f>'tabela 9.4'!K40+'tabela 9.5'!K38</f>
        <v>5687</v>
      </c>
      <c r="L39" s="15">
        <f>'tabela 9.4'!L40+'tabela 9.5'!L38</f>
        <v>5687</v>
      </c>
      <c r="M39" s="15">
        <f>'tabela 9.4'!M40+'tabela 9.5'!M38</f>
        <v>5687</v>
      </c>
      <c r="N39" s="15">
        <f>SUM(B39:M39)</f>
        <v>68244</v>
      </c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6" t="s">
        <v>62</v>
      </c>
      <c r="B41" s="15">
        <f>B21+B37+B39</f>
        <v>144948.44104166667</v>
      </c>
      <c r="C41" s="15">
        <f t="shared" ref="C41:M41" si="7">C21+C37+C39</f>
        <v>144948.44104166667</v>
      </c>
      <c r="D41" s="15">
        <f t="shared" si="7"/>
        <v>144948.44104166667</v>
      </c>
      <c r="E41" s="15">
        <f t="shared" si="7"/>
        <v>144948.44104166667</v>
      </c>
      <c r="F41" s="15">
        <f t="shared" si="7"/>
        <v>144948.44104166667</v>
      </c>
      <c r="G41" s="15">
        <f t="shared" si="7"/>
        <v>144948.44104166667</v>
      </c>
      <c r="H41" s="15">
        <f t="shared" si="7"/>
        <v>144948.44104166667</v>
      </c>
      <c r="I41" s="15">
        <f t="shared" si="7"/>
        <v>144948.44104166667</v>
      </c>
      <c r="J41" s="15">
        <f t="shared" si="7"/>
        <v>152359.29619791667</v>
      </c>
      <c r="K41" s="15">
        <f t="shared" si="7"/>
        <v>152359.29619791667</v>
      </c>
      <c r="L41" s="15">
        <f t="shared" si="7"/>
        <v>152359.29619791667</v>
      </c>
      <c r="M41" s="15">
        <f t="shared" si="7"/>
        <v>152359.29619791667</v>
      </c>
      <c r="N41" s="15">
        <f>SUM(B41:M41)</f>
        <v>1769024.7131249998</v>
      </c>
    </row>
    <row r="42" spans="1:1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idden="1" x14ac:dyDescent="0.2">
      <c r="A44" s="6" t="s">
        <v>63</v>
      </c>
      <c r="B44" s="6">
        <f>'tabela 9.4'!B45+'tabela 9.5'!B43</f>
        <v>11610.133333333333</v>
      </c>
      <c r="C44" s="6">
        <f>'tabela 9.4'!C45+'tabela 9.5'!C43</f>
        <v>11610.133333333333</v>
      </c>
      <c r="D44" s="6">
        <f>'tabela 9.4'!D45+'tabela 9.5'!D43</f>
        <v>11610.133333333333</v>
      </c>
      <c r="E44" s="6">
        <f>'tabela 9.4'!E45+'tabela 9.5'!E43</f>
        <v>11610.133333333333</v>
      </c>
      <c r="F44" s="6">
        <f>'tabela 9.4'!F45+'tabela 9.5'!F43</f>
        <v>11610.133333333333</v>
      </c>
      <c r="G44" s="6">
        <f>'tabela 9.4'!G45+'tabela 9.5'!G43</f>
        <v>11610.133333333333</v>
      </c>
      <c r="H44" s="6">
        <f>'tabela 9.4'!H45+'tabela 9.5'!H43</f>
        <v>11610.133333333333</v>
      </c>
      <c r="I44" s="6">
        <f>'tabela 9.4'!I45+'tabela 9.5'!I43</f>
        <v>11610.133333333333</v>
      </c>
      <c r="J44" s="6">
        <f>'tabela 9.4'!J45+'tabela 9.5'!J43</f>
        <v>11610.133333333333</v>
      </c>
      <c r="K44" s="6">
        <f>'tabela 9.4'!K45+'tabela 9.5'!K43</f>
        <v>11610.133333333333</v>
      </c>
      <c r="L44" s="6">
        <f>'tabela 9.4'!L45+'tabela 9.5'!L43</f>
        <v>11610.133333333333</v>
      </c>
      <c r="M44" s="6">
        <f>'tabela 9.4'!M45+'tabela 9.5'!M43</f>
        <v>11610.133333333333</v>
      </c>
      <c r="N44" s="6">
        <f>SUM(B44:M44)</f>
        <v>139321.60000000001</v>
      </c>
    </row>
    <row r="45" spans="1:14" hidden="1" x14ac:dyDescent="0.2">
      <c r="A45" s="6" t="s">
        <v>69</v>
      </c>
      <c r="B45" s="6">
        <f>'tabela 9.4'!B46+'tabela 9.5'!B44</f>
        <v>8494.2444444444445</v>
      </c>
      <c r="C45" s="6">
        <f>'tabela 9.4'!C46+'tabela 9.5'!C44</f>
        <v>8494.2444444444445</v>
      </c>
      <c r="D45" s="6">
        <f>'tabela 9.4'!D46+'tabela 9.5'!D44</f>
        <v>8494.2444444444445</v>
      </c>
      <c r="E45" s="6">
        <f>'tabela 9.4'!E46+'tabela 9.5'!E44</f>
        <v>8494.2444444444445</v>
      </c>
      <c r="F45" s="6">
        <f>'tabela 9.4'!F46+'tabela 9.5'!F44</f>
        <v>8494.2444444444445</v>
      </c>
      <c r="G45" s="6">
        <f>'tabela 9.4'!G46+'tabela 9.5'!G44</f>
        <v>8494.2444444444445</v>
      </c>
      <c r="H45" s="6">
        <f>'tabela 9.4'!H46+'tabela 9.5'!H44</f>
        <v>8494.2444444444445</v>
      </c>
      <c r="I45" s="6">
        <f>'tabela 9.4'!I46+'tabela 9.5'!I44</f>
        <v>8494.2444444444445</v>
      </c>
      <c r="J45" s="6">
        <f>'tabela 9.4'!J46+'tabela 9.5'!J44</f>
        <v>8494.2444444444445</v>
      </c>
      <c r="K45" s="6">
        <f>'tabela 9.4'!K46+'tabela 9.5'!K44</f>
        <v>8494.2444444444445</v>
      </c>
      <c r="L45" s="6">
        <f>'tabela 9.4'!L46+'tabela 9.5'!L44</f>
        <v>8494.2444444444445</v>
      </c>
      <c r="M45" s="6">
        <f>'tabela 9.4'!M46+'tabela 9.5'!M44</f>
        <v>8494.2444444444445</v>
      </c>
      <c r="N45" s="6">
        <f>SUM(B45:M45)</f>
        <v>101930.93333333331</v>
      </c>
    </row>
    <row r="46" spans="1:14" hidden="1" x14ac:dyDescent="0.2">
      <c r="A46" s="10" t="s">
        <v>65</v>
      </c>
      <c r="B46" s="6">
        <f>'tabela 9.4'!B47+'tabela 9.5'!B45</f>
        <v>3115.8888888888887</v>
      </c>
      <c r="C46" s="6">
        <f>'tabela 9.4'!C47+'tabela 9.5'!C45</f>
        <v>3115.8888888888887</v>
      </c>
      <c r="D46" s="6">
        <f>'tabela 9.4'!D47+'tabela 9.5'!D45</f>
        <v>3115.8888888888887</v>
      </c>
      <c r="E46" s="6">
        <f>'tabela 9.4'!E47+'tabela 9.5'!E45</f>
        <v>3115.8888888888887</v>
      </c>
      <c r="F46" s="6">
        <f>'tabela 9.4'!F47+'tabela 9.5'!F45</f>
        <v>3115.8888888888887</v>
      </c>
      <c r="G46" s="6">
        <f>'tabela 9.4'!G47+'tabela 9.5'!G45</f>
        <v>3115.8888888888887</v>
      </c>
      <c r="H46" s="6">
        <f>'tabela 9.4'!H47+'tabela 9.5'!H45</f>
        <v>3115.8888888888887</v>
      </c>
      <c r="I46" s="6">
        <f>'tabela 9.4'!I47+'tabela 9.5'!I45</f>
        <v>3115.8888888888887</v>
      </c>
      <c r="J46" s="6">
        <f>'tabela 9.4'!J47+'tabela 9.5'!J45</f>
        <v>3115.8888888888887</v>
      </c>
      <c r="K46" s="6">
        <f>'tabela 9.4'!K47+'tabela 9.5'!K45</f>
        <v>3115.8888888888887</v>
      </c>
      <c r="L46" s="6">
        <f>'tabela 9.4'!L47+'tabela 9.5'!L45</f>
        <v>3115.8888888888887</v>
      </c>
      <c r="M46" s="6">
        <f>'tabela 9.4'!M47+'tabela 9.5'!M45</f>
        <v>3115.8888888888887</v>
      </c>
      <c r="N46" s="6">
        <f>SUM(B46:M46)</f>
        <v>37390.666666666672</v>
      </c>
    </row>
    <row r="47" spans="1:14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6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</sheetData>
  <pageMargins left="0" right="0" top="0.19685039370078741" bottom="0" header="0.19685039370078741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"/>
  <sheetViews>
    <sheetView topLeftCell="A5" workbookViewId="0">
      <selection activeCell="N6" sqref="N6"/>
    </sheetView>
  </sheetViews>
  <sheetFormatPr defaultColWidth="11.42578125" defaultRowHeight="12.75" x14ac:dyDescent="0.2"/>
  <cols>
    <col min="1" max="1" width="20.85546875" style="6" customWidth="1"/>
    <col min="2" max="10" width="8.7109375" style="6" customWidth="1"/>
    <col min="11" max="14" width="9.7109375" style="6" customWidth="1"/>
    <col min="15" max="16384" width="11.42578125" style="6"/>
  </cols>
  <sheetData>
    <row r="3" spans="1:14" x14ac:dyDescent="0.2">
      <c r="B3"/>
    </row>
    <row r="5" spans="1:14" x14ac:dyDescent="0.2">
      <c r="E5" s="6" t="s">
        <v>98</v>
      </c>
    </row>
    <row r="7" spans="1:14" x14ac:dyDescent="0.2"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  <c r="N7" s="6" t="s">
        <v>1</v>
      </c>
    </row>
    <row r="9" spans="1:14" x14ac:dyDescent="0.2">
      <c r="A9" s="6" t="str">
        <f>'Tabela 9.1'!A19</f>
        <v xml:space="preserve"> M.CONTRIB.</v>
      </c>
      <c r="B9" s="15">
        <f>'tabela 9.3'!B18</f>
        <v>188191.2</v>
      </c>
      <c r="C9" s="15">
        <f>'tabela 9.3'!C18</f>
        <v>188191.2</v>
      </c>
      <c r="D9" s="15">
        <f>'tabela 9.3'!D18</f>
        <v>188191.2</v>
      </c>
      <c r="E9" s="15">
        <f>'tabela 9.3'!E18</f>
        <v>188191.2</v>
      </c>
      <c r="F9" s="15">
        <f>'tabela 9.3'!F18</f>
        <v>250921.59999999998</v>
      </c>
      <c r="G9" s="15">
        <f>'tabela 9.3'!G18</f>
        <v>313652</v>
      </c>
      <c r="H9" s="15">
        <f>'tabela 9.3'!H18</f>
        <v>313652</v>
      </c>
      <c r="I9" s="15">
        <f>'tabela 9.3'!I18</f>
        <v>313652</v>
      </c>
      <c r="J9" s="15">
        <f>'tabela 9.3'!J18</f>
        <v>313652</v>
      </c>
      <c r="K9" s="15">
        <f>'tabela 9.3'!K18</f>
        <v>376382.4</v>
      </c>
      <c r="L9" s="15">
        <f>'tabela 9.3'!L18</f>
        <v>313652</v>
      </c>
      <c r="M9" s="15">
        <f>'tabela 9.3'!M18</f>
        <v>188191.2</v>
      </c>
      <c r="N9" s="15">
        <f>'Tabela 9.1'!N19</f>
        <v>1925420</v>
      </c>
    </row>
    <row r="11" spans="1:14" x14ac:dyDescent="0.2">
      <c r="A11" s="6" t="s">
        <v>62</v>
      </c>
      <c r="B11" s="15">
        <f>-'tabela 9.6'!B41</f>
        <v>-144948.44104166667</v>
      </c>
      <c r="C11" s="15">
        <f>-'tabela 9.6'!C41</f>
        <v>-144948.44104166667</v>
      </c>
      <c r="D11" s="15">
        <f>-'tabela 9.6'!D41</f>
        <v>-144948.44104166667</v>
      </c>
      <c r="E11" s="15">
        <f>-'tabela 9.6'!E41</f>
        <v>-144948.44104166667</v>
      </c>
      <c r="F11" s="15">
        <f>-'tabela 9.6'!F41</f>
        <v>-144948.44104166667</v>
      </c>
      <c r="G11" s="15">
        <f>-'tabela 9.6'!G41</f>
        <v>-144948.44104166667</v>
      </c>
      <c r="H11" s="15">
        <f>-'tabela 9.6'!H41</f>
        <v>-144948.44104166667</v>
      </c>
      <c r="I11" s="15">
        <f>-'tabela 9.6'!I41</f>
        <v>-144948.44104166667</v>
      </c>
      <c r="J11" s="15">
        <f>-'tabela 9.6'!J41</f>
        <v>-152359.29619791667</v>
      </c>
      <c r="K11" s="15">
        <f>-'tabela 9.6'!K41</f>
        <v>-152359.29619791667</v>
      </c>
      <c r="L11" s="15">
        <f>-'tabela 9.6'!L41</f>
        <v>-152359.29619791667</v>
      </c>
      <c r="M11" s="15">
        <f>-'tabela 9.6'!M41</f>
        <v>-152359.29619791667</v>
      </c>
      <c r="N11" s="15">
        <f>-'tabela 9.4'!N42</f>
        <v>-987991.54499999993</v>
      </c>
    </row>
    <row r="13" spans="1:14" x14ac:dyDescent="0.2">
      <c r="A13" s="6" t="s">
        <v>72</v>
      </c>
      <c r="B13" s="15">
        <f t="shared" ref="B13:N13" si="0">B9+B11</f>
        <v>43242.758958333347</v>
      </c>
      <c r="C13" s="15">
        <f t="shared" si="0"/>
        <v>43242.758958333347</v>
      </c>
      <c r="D13" s="15">
        <f t="shared" si="0"/>
        <v>43242.758958333347</v>
      </c>
      <c r="E13" s="15">
        <f t="shared" si="0"/>
        <v>43242.758958333347</v>
      </c>
      <c r="F13" s="15">
        <f t="shared" si="0"/>
        <v>105973.15895833331</v>
      </c>
      <c r="G13" s="15">
        <f t="shared" si="0"/>
        <v>168703.55895833333</v>
      </c>
      <c r="H13" s="15">
        <f t="shared" si="0"/>
        <v>168703.55895833333</v>
      </c>
      <c r="I13" s="15">
        <f t="shared" si="0"/>
        <v>168703.55895833333</v>
      </c>
      <c r="J13" s="15">
        <f t="shared" si="0"/>
        <v>161292.70380208333</v>
      </c>
      <c r="K13" s="15">
        <f t="shared" si="0"/>
        <v>224023.10380208335</v>
      </c>
      <c r="L13" s="15">
        <f t="shared" si="0"/>
        <v>161292.70380208333</v>
      </c>
      <c r="M13" s="15">
        <f t="shared" si="0"/>
        <v>35831.90380208334</v>
      </c>
      <c r="N13" s="15">
        <f t="shared" si="0"/>
        <v>937428.45500000007</v>
      </c>
    </row>
    <row r="14" spans="1:14" x14ac:dyDescent="0.2">
      <c r="A14" s="6" t="s">
        <v>73</v>
      </c>
      <c r="B14" s="15">
        <f>B13</f>
        <v>43242.758958333347</v>
      </c>
      <c r="C14" s="15">
        <f>B14+C13</f>
        <v>86485.517916666693</v>
      </c>
      <c r="D14" s="15">
        <f t="shared" ref="D14:M14" si="1">C14+D13</f>
        <v>129728.27687500004</v>
      </c>
      <c r="E14" s="15">
        <f t="shared" si="1"/>
        <v>172971.03583333339</v>
      </c>
      <c r="F14" s="15">
        <f t="shared" si="1"/>
        <v>278944.1947916667</v>
      </c>
      <c r="G14" s="15">
        <f t="shared" si="1"/>
        <v>447647.75375000003</v>
      </c>
      <c r="H14" s="15">
        <f t="shared" si="1"/>
        <v>616351.31270833337</v>
      </c>
      <c r="I14" s="15">
        <f t="shared" si="1"/>
        <v>785054.8716666667</v>
      </c>
      <c r="J14" s="15">
        <f t="shared" si="1"/>
        <v>946347.57546874997</v>
      </c>
      <c r="K14" s="15">
        <f t="shared" si="1"/>
        <v>1170370.6792708333</v>
      </c>
      <c r="L14" s="15">
        <f t="shared" si="1"/>
        <v>1331663.3830729167</v>
      </c>
      <c r="M14" s="15">
        <f t="shared" si="1"/>
        <v>1367495.286875</v>
      </c>
      <c r="N14" s="15"/>
    </row>
    <row r="16" spans="1:14" x14ac:dyDescent="0.2">
      <c r="A16" s="6" t="s">
        <v>74</v>
      </c>
      <c r="B16" s="15">
        <f>IF(B13&lt;0,0,B13*15%)</f>
        <v>6486.4138437500014</v>
      </c>
      <c r="C16" s="15">
        <f t="shared" ref="C16:M16" si="2">IF(C13&lt;0,0,C13*15%)</f>
        <v>6486.4138437500014</v>
      </c>
      <c r="D16" s="15">
        <f t="shared" si="2"/>
        <v>6486.4138437500014</v>
      </c>
      <c r="E16" s="15">
        <f t="shared" si="2"/>
        <v>6486.4138437500014</v>
      </c>
      <c r="F16" s="15">
        <f t="shared" si="2"/>
        <v>15895.973843749996</v>
      </c>
      <c r="G16" s="15">
        <f t="shared" si="2"/>
        <v>25305.53384375</v>
      </c>
      <c r="H16" s="15">
        <f t="shared" si="2"/>
        <v>25305.53384375</v>
      </c>
      <c r="I16" s="15">
        <f t="shared" si="2"/>
        <v>25305.53384375</v>
      </c>
      <c r="J16" s="15">
        <f t="shared" si="2"/>
        <v>24193.905570312498</v>
      </c>
      <c r="K16" s="15">
        <f t="shared" si="2"/>
        <v>33603.465570312503</v>
      </c>
      <c r="L16" s="15">
        <f t="shared" si="2"/>
        <v>24193.905570312498</v>
      </c>
      <c r="M16" s="15">
        <f t="shared" si="2"/>
        <v>5374.7855703125006</v>
      </c>
      <c r="N16" s="15">
        <f>SUM(B16:M16)</f>
        <v>205124.29303125001</v>
      </c>
    </row>
    <row r="17" spans="1:14" x14ac:dyDescent="0.2">
      <c r="A17" s="6" t="s">
        <v>75</v>
      </c>
      <c r="B17" s="15">
        <f>IF(B14&gt;20000,(B14-20000)*10%,0)</f>
        <v>2324.2758958333347</v>
      </c>
      <c r="C17" s="15">
        <f>IF(C14&gt;40000,(C14-40000)*10%,0)</f>
        <v>4648.5517916666695</v>
      </c>
      <c r="D17" s="15">
        <f>IF(D14&gt;60000,(D14-60000)*10%,0)</f>
        <v>6972.8276875000047</v>
      </c>
      <c r="E17" s="15">
        <f>IF(E14&gt;80000,(E14-80000)*10%,0)</f>
        <v>9297.103583333339</v>
      </c>
      <c r="F17" s="15">
        <f>IF(F14&gt;100000,(F14-100000)*10%,0)</f>
        <v>17894.41947916667</v>
      </c>
      <c r="G17" s="15">
        <f>IF(G14&gt;120000,(G14-120000)*10%,0)</f>
        <v>32764.775375000005</v>
      </c>
      <c r="H17" s="15">
        <f>IF(H14&gt;140000,(H14-140000)*10%,0)</f>
        <v>47635.131270833343</v>
      </c>
      <c r="I17" s="15">
        <f>IF(I14&gt;160000,(I14-160000)*10%,0)</f>
        <v>62505.487166666673</v>
      </c>
      <c r="J17" s="15">
        <f>IF(J14&gt;180000,(J14-180000)*10%,0)</f>
        <v>76634.757546875</v>
      </c>
      <c r="K17" s="15">
        <f>IF(K14&gt;200000,(K14-200000)*10%,0)</f>
        <v>97037.067927083335</v>
      </c>
      <c r="L17" s="15">
        <f>IF(L14&gt;220000,(L14-220000)*10%,0)</f>
        <v>111166.33830729168</v>
      </c>
      <c r="M17" s="15">
        <f>IF(M14&gt;240000,(M14-240000)*10%,0)</f>
        <v>112749.5286875</v>
      </c>
      <c r="N17" s="15">
        <f t="shared" ref="N17:N24" si="3">SUM(B17:M17)</f>
        <v>581630.26471875003</v>
      </c>
    </row>
    <row r="18" spans="1:14" x14ac:dyDescent="0.2">
      <c r="A18" s="6" t="s">
        <v>76</v>
      </c>
      <c r="B18" s="15">
        <f>B16+B17</f>
        <v>8810.6897395833366</v>
      </c>
      <c r="C18" s="15">
        <f t="shared" ref="C18:M18" si="4">C16+C17</f>
        <v>11134.965635416671</v>
      </c>
      <c r="D18" s="15">
        <f t="shared" si="4"/>
        <v>13459.241531250005</v>
      </c>
      <c r="E18" s="15">
        <f t="shared" si="4"/>
        <v>15783.517427083341</v>
      </c>
      <c r="F18" s="15">
        <f t="shared" si="4"/>
        <v>33790.393322916665</v>
      </c>
      <c r="G18" s="15">
        <f t="shared" si="4"/>
        <v>58070.309218750001</v>
      </c>
      <c r="H18" s="15">
        <f t="shared" si="4"/>
        <v>72940.665114583346</v>
      </c>
      <c r="I18" s="15">
        <f t="shared" si="4"/>
        <v>87811.021010416676</v>
      </c>
      <c r="J18" s="15">
        <f t="shared" si="4"/>
        <v>100828.66311718751</v>
      </c>
      <c r="K18" s="15">
        <f t="shared" si="4"/>
        <v>130640.53349739584</v>
      </c>
      <c r="L18" s="15">
        <f t="shared" si="4"/>
        <v>135360.24387760417</v>
      </c>
      <c r="M18" s="15">
        <f t="shared" si="4"/>
        <v>118124.3142578125</v>
      </c>
      <c r="N18" s="15">
        <f t="shared" si="3"/>
        <v>786754.55774999992</v>
      </c>
    </row>
    <row r="20" spans="1:14" x14ac:dyDescent="0.2">
      <c r="A20" s="6" t="s">
        <v>77</v>
      </c>
      <c r="B20" s="15">
        <f>B13-B18</f>
        <v>34432.06921875001</v>
      </c>
      <c r="C20" s="15">
        <f t="shared" ref="C20:M20" si="5">C13-C18</f>
        <v>32107.793322916674</v>
      </c>
      <c r="D20" s="15">
        <f t="shared" si="5"/>
        <v>29783.517427083341</v>
      </c>
      <c r="E20" s="15">
        <f t="shared" si="5"/>
        <v>27459.241531250005</v>
      </c>
      <c r="F20" s="15">
        <f t="shared" si="5"/>
        <v>72182.765635416639</v>
      </c>
      <c r="G20" s="15">
        <f t="shared" si="5"/>
        <v>110633.24973958333</v>
      </c>
      <c r="H20" s="15">
        <f t="shared" si="5"/>
        <v>95762.893843749989</v>
      </c>
      <c r="I20" s="15">
        <f t="shared" si="5"/>
        <v>80892.537947916659</v>
      </c>
      <c r="J20" s="15">
        <f t="shared" si="5"/>
        <v>60464.040684895823</v>
      </c>
      <c r="K20" s="15">
        <f t="shared" si="5"/>
        <v>93382.570304687513</v>
      </c>
      <c r="L20" s="15">
        <f t="shared" si="5"/>
        <v>25932.459924479161</v>
      </c>
      <c r="M20" s="15">
        <f t="shared" si="5"/>
        <v>-82292.410455729158</v>
      </c>
      <c r="N20" s="15">
        <f t="shared" si="3"/>
        <v>580740.72912500007</v>
      </c>
    </row>
    <row r="22" spans="1:14" x14ac:dyDescent="0.2">
      <c r="A22" s="6" t="s">
        <v>78</v>
      </c>
      <c r="B22" s="15">
        <f>-IF(B13&gt;0,B13*8%,0)</f>
        <v>-3459.4207166666679</v>
      </c>
      <c r="C22" s="15">
        <f t="shared" ref="C22:M22" si="6">-IF(C13&gt;0,C13*8%,0)</f>
        <v>-3459.4207166666679</v>
      </c>
      <c r="D22" s="15">
        <f t="shared" si="6"/>
        <v>-3459.4207166666679</v>
      </c>
      <c r="E22" s="15">
        <f t="shared" si="6"/>
        <v>-3459.4207166666679</v>
      </c>
      <c r="F22" s="15">
        <f t="shared" si="6"/>
        <v>-8477.8527166666645</v>
      </c>
      <c r="G22" s="15">
        <f t="shared" si="6"/>
        <v>-13496.284716666667</v>
      </c>
      <c r="H22" s="15">
        <f t="shared" si="6"/>
        <v>-13496.284716666667</v>
      </c>
      <c r="I22" s="15">
        <f t="shared" si="6"/>
        <v>-13496.284716666667</v>
      </c>
      <c r="J22" s="15">
        <f t="shared" si="6"/>
        <v>-12903.416304166667</v>
      </c>
      <c r="K22" s="15">
        <f t="shared" si="6"/>
        <v>-17921.84830416667</v>
      </c>
      <c r="L22" s="15">
        <f t="shared" si="6"/>
        <v>-12903.416304166667</v>
      </c>
      <c r="M22" s="15">
        <f t="shared" si="6"/>
        <v>-2866.552304166667</v>
      </c>
      <c r="N22" s="15">
        <f t="shared" si="3"/>
        <v>-109399.62294999999</v>
      </c>
    </row>
    <row r="24" spans="1:14" x14ac:dyDescent="0.2">
      <c r="A24" s="6" t="s">
        <v>79</v>
      </c>
      <c r="B24" s="15">
        <f>B20+B22</f>
        <v>30972.648502083342</v>
      </c>
      <c r="C24" s="15">
        <f t="shared" ref="C24:M24" si="7">C20+C22</f>
        <v>28648.372606250006</v>
      </c>
      <c r="D24" s="15">
        <f t="shared" si="7"/>
        <v>26324.096710416674</v>
      </c>
      <c r="E24" s="15">
        <f t="shared" si="7"/>
        <v>23999.820814583338</v>
      </c>
      <c r="F24" s="15">
        <f t="shared" si="7"/>
        <v>63704.912918749978</v>
      </c>
      <c r="G24" s="15">
        <f t="shared" si="7"/>
        <v>97136.965022916673</v>
      </c>
      <c r="H24" s="15">
        <f t="shared" si="7"/>
        <v>82266.609127083328</v>
      </c>
      <c r="I24" s="15">
        <f t="shared" si="7"/>
        <v>67396.253231249997</v>
      </c>
      <c r="J24" s="15">
        <f t="shared" si="7"/>
        <v>47560.624380729154</v>
      </c>
      <c r="K24" s="15">
        <f t="shared" si="7"/>
        <v>75460.722000520851</v>
      </c>
      <c r="L24" s="15">
        <f t="shared" si="7"/>
        <v>13029.043620312494</v>
      </c>
      <c r="M24" s="15">
        <f t="shared" si="7"/>
        <v>-85158.962759895818</v>
      </c>
      <c r="N24" s="15">
        <f t="shared" si="3"/>
        <v>471341.10617499996</v>
      </c>
    </row>
  </sheetData>
  <pageMargins left="0.69" right="0.19685039370078741" top="0.59055118110236227" bottom="0.59055118110236227" header="0.51181102362204722" footer="0.51181102362204722"/>
  <pageSetup paperSize="9" orientation="landscape" horizontalDpi="300" verticalDpi="300" r:id="rId1"/>
  <headerFooter alignWithMargins="0"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tabSelected="1" workbookViewId="0">
      <selection activeCell="F20" sqref="F20"/>
    </sheetView>
  </sheetViews>
  <sheetFormatPr defaultColWidth="11.42578125" defaultRowHeight="12.75" x14ac:dyDescent="0.2"/>
  <cols>
    <col min="1" max="1" width="25.7109375" style="1" customWidth="1"/>
    <col min="2" max="2" width="11.42578125" style="1" customWidth="1"/>
    <col min="3" max="3" width="11.42578125" style="2" customWidth="1"/>
    <col min="4" max="4" width="11.42578125" style="1" customWidth="1"/>
    <col min="5" max="16384" width="11.42578125" style="5"/>
  </cols>
  <sheetData>
    <row r="3" spans="1:4" x14ac:dyDescent="0.2">
      <c r="B3" s="1" t="s">
        <v>80</v>
      </c>
    </row>
    <row r="5" spans="1:4" x14ac:dyDescent="0.2">
      <c r="A5" s="1" t="s">
        <v>81</v>
      </c>
      <c r="B5" s="2" t="s">
        <v>82</v>
      </c>
    </row>
    <row r="6" spans="1:4" x14ac:dyDescent="0.2">
      <c r="B6" s="12"/>
      <c r="C6" s="12"/>
    </row>
    <row r="7" spans="1:4" x14ac:dyDescent="0.2">
      <c r="A7" s="1" t="s">
        <v>83</v>
      </c>
      <c r="B7" s="2">
        <v>8000000</v>
      </c>
      <c r="C7" s="12"/>
    </row>
    <row r="8" spans="1:4" x14ac:dyDescent="0.2">
      <c r="B8" s="2"/>
      <c r="C8" s="12"/>
    </row>
    <row r="9" spans="1:4" x14ac:dyDescent="0.2">
      <c r="A9" s="1" t="s">
        <v>84</v>
      </c>
      <c r="B9" s="2">
        <v>30000000</v>
      </c>
      <c r="C9" s="12"/>
    </row>
    <row r="11" spans="1:4" x14ac:dyDescent="0.2">
      <c r="A11" s="1" t="s">
        <v>85</v>
      </c>
      <c r="B11" s="16">
        <f>'tabela 9.3'!N5</f>
        <v>16490000</v>
      </c>
    </row>
    <row r="14" spans="1:4" x14ac:dyDescent="0.2">
      <c r="A14"/>
      <c r="B14" s="13" t="s">
        <v>86</v>
      </c>
    </row>
    <row r="15" spans="1:4" x14ac:dyDescent="0.2">
      <c r="A15"/>
      <c r="B15" s="13"/>
    </row>
    <row r="16" spans="1:4" x14ac:dyDescent="0.2">
      <c r="A16" s="13"/>
      <c r="B16" s="1" t="s">
        <v>87</v>
      </c>
      <c r="C16" s="2" t="s">
        <v>87</v>
      </c>
      <c r="D16" s="1" t="s">
        <v>87</v>
      </c>
    </row>
    <row r="17" spans="1:4" x14ac:dyDescent="0.2">
      <c r="B17" s="1" t="s">
        <v>88</v>
      </c>
      <c r="C17" s="2" t="s">
        <v>89</v>
      </c>
      <c r="D17" s="1" t="s">
        <v>90</v>
      </c>
    </row>
    <row r="19" spans="1:4" x14ac:dyDescent="0.2">
      <c r="A19" s="1" t="s">
        <v>91</v>
      </c>
      <c r="B19" s="19">
        <v>0.08</v>
      </c>
      <c r="C19" s="18">
        <f>'tabela 9.7'!N24/'tabela 9.8'!B7</f>
        <v>5.8917638271874996E-2</v>
      </c>
      <c r="D19" s="18">
        <f>C19-B19</f>
        <v>-2.1082361728125006E-2</v>
      </c>
    </row>
    <row r="20" spans="1:4" x14ac:dyDescent="0.2">
      <c r="C20" s="14"/>
      <c r="D20" s="20"/>
    </row>
    <row r="21" spans="1:4" x14ac:dyDescent="0.2">
      <c r="A21" s="1" t="s">
        <v>92</v>
      </c>
      <c r="B21" s="19">
        <v>0.05</v>
      </c>
      <c r="C21" s="18">
        <f>'tabela 9.7'!N24/'tabela 9.8'!B9</f>
        <v>1.5711370205833332E-2</v>
      </c>
      <c r="D21" s="18">
        <f>C21-B21</f>
        <v>-3.4288629794166671E-2</v>
      </c>
    </row>
    <row r="22" spans="1:4" x14ac:dyDescent="0.2">
      <c r="C22" s="14"/>
      <c r="D22" s="20"/>
    </row>
    <row r="23" spans="1:4" x14ac:dyDescent="0.2">
      <c r="A23" s="1" t="s">
        <v>93</v>
      </c>
      <c r="B23" s="19">
        <v>0.08</v>
      </c>
      <c r="C23" s="18">
        <f>'tabela 9.7'!N24/'tabela 9.8'!B11</f>
        <v>2.8583450950576104E-2</v>
      </c>
      <c r="D23" s="18">
        <f>C23-B23</f>
        <v>-5.1416549049423901E-2</v>
      </c>
    </row>
    <row r="24" spans="1:4" x14ac:dyDescent="0.2">
      <c r="D24" s="6"/>
    </row>
  </sheetData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Footer>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Tabela 9.1</vt:lpstr>
      <vt:lpstr>tabela 9.2</vt:lpstr>
      <vt:lpstr>tabela 9.3</vt:lpstr>
      <vt:lpstr>tabela 9.4</vt:lpstr>
      <vt:lpstr>tabela 9.5</vt:lpstr>
      <vt:lpstr>tabela 9.6</vt:lpstr>
      <vt:lpstr>tabela 9.7</vt:lpstr>
      <vt:lpstr>tabela 9.8</vt:lpstr>
      <vt:lpstr>Plan11</vt:lpstr>
      <vt:lpstr>Plan12</vt:lpstr>
      <vt:lpstr>Plan13</vt:lpstr>
      <vt:lpstr>Plan14</vt:lpstr>
      <vt:lpstr>Plan15</vt:lpstr>
      <vt:lpstr>Plan16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Netwyse</dc:creator>
  <cp:lastModifiedBy>Roberto</cp:lastModifiedBy>
  <dcterms:created xsi:type="dcterms:W3CDTF">2003-05-21T17:35:19Z</dcterms:created>
  <dcterms:modified xsi:type="dcterms:W3CDTF">2013-11-01T20:55:32Z</dcterms:modified>
</cp:coreProperties>
</file>