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4800" windowHeight="5190" tabRatio="797" activeTab="2"/>
  </bookViews>
  <sheets>
    <sheet name="Tabela 4.1" sheetId="3" r:id="rId1"/>
    <sheet name="Tabela 4.2" sheetId="4" r:id="rId2"/>
    <sheet name="Tabela 4.3" sheetId="2" r:id="rId3"/>
    <sheet name="Tabela 4.4" sheetId="5" r:id="rId4"/>
    <sheet name="tabela 4.5" sheetId="12" r:id="rId5"/>
    <sheet name="tabela 4.6" sheetId="11" r:id="rId6"/>
    <sheet name="tabela 4.7" sheetId="10" r:id="rId7"/>
    <sheet name="tabela 4.8" sheetId="8" r:id="rId8"/>
  </sheets>
  <externalReferences>
    <externalReference r:id="rId9"/>
  </externalReferences>
  <calcPr calcId="145621"/>
</workbook>
</file>

<file path=xl/calcChain.xml><?xml version="1.0" encoding="utf-8"?>
<calcChain xmlns="http://schemas.openxmlformats.org/spreadsheetml/2006/main">
  <c r="B13" i="2" l="1"/>
  <c r="B36" i="2" l="1"/>
  <c r="B37" i="2"/>
  <c r="B33" i="5" l="1"/>
  <c r="D41" i="2" l="1"/>
  <c r="B40" i="2"/>
  <c r="D38" i="2"/>
  <c r="D37" i="2"/>
  <c r="D36" i="2"/>
  <c r="D35" i="2"/>
  <c r="D34" i="2"/>
  <c r="D32" i="2"/>
  <c r="D31" i="2"/>
  <c r="B34" i="2"/>
  <c r="B33" i="2"/>
  <c r="B31" i="2"/>
  <c r="B30" i="2"/>
  <c r="C18" i="3"/>
  <c r="C31" i="3"/>
  <c r="F11" i="3"/>
  <c r="C17" i="3"/>
  <c r="C20" i="3"/>
  <c r="F20" i="3"/>
  <c r="E17" i="3"/>
  <c r="C32" i="3"/>
  <c r="F18" i="3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F3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C41" i="4"/>
  <c r="C40" i="4"/>
  <c r="D15" i="4"/>
  <c r="C21" i="4"/>
  <c r="D8" i="2"/>
  <c r="B29" i="2"/>
  <c r="G9" i="5"/>
  <c r="B34" i="5"/>
  <c r="G10" i="5"/>
  <c r="G11" i="5"/>
  <c r="G12" i="5"/>
  <c r="B15" i="5"/>
  <c r="B20" i="5"/>
  <c r="B25" i="5"/>
  <c r="D25" i="5"/>
  <c r="C20" i="5"/>
  <c r="B3" i="12"/>
  <c r="B12" i="12"/>
  <c r="B15" i="12"/>
  <c r="B25" i="12"/>
  <c r="B45" i="11"/>
  <c r="B55" i="11"/>
  <c r="B56" i="11"/>
  <c r="B51" i="11"/>
  <c r="B58" i="11"/>
  <c r="B67" i="11"/>
  <c r="B98" i="11"/>
  <c r="B71" i="11"/>
  <c r="B76" i="11"/>
  <c r="B81" i="11"/>
  <c r="B84" i="11"/>
  <c r="B88" i="11"/>
  <c r="B100" i="11"/>
  <c r="B9" i="11"/>
  <c r="B17" i="11"/>
  <c r="B18" i="11"/>
  <c r="B13" i="11"/>
  <c r="B20" i="11"/>
  <c r="B34" i="11"/>
  <c r="B39" i="10"/>
  <c r="D39" i="10" s="1"/>
  <c r="B35" i="10"/>
  <c r="C39" i="10"/>
  <c r="B40" i="10"/>
  <c r="D40" i="10" s="1"/>
  <c r="B41" i="10"/>
  <c r="D41" i="10" s="1"/>
  <c r="B42" i="10"/>
  <c r="B43" i="10"/>
  <c r="D43" i="10"/>
  <c r="B44" i="10"/>
  <c r="D44" i="10" s="1"/>
  <c r="B45" i="10"/>
  <c r="D45" i="10"/>
  <c r="B46" i="10"/>
  <c r="D46" i="10" s="1"/>
  <c r="B47" i="10"/>
  <c r="D47" i="10" s="1"/>
  <c r="B48" i="10"/>
  <c r="D48" i="10" s="1"/>
  <c r="B49" i="10"/>
  <c r="D49" i="10" s="1"/>
  <c r="B50" i="10"/>
  <c r="G8" i="10"/>
  <c r="G9" i="10"/>
  <c r="G10" i="10"/>
  <c r="G11" i="10"/>
  <c r="G12" i="10"/>
  <c r="G13" i="10"/>
  <c r="G14" i="10"/>
  <c r="G15" i="10"/>
  <c r="G16" i="10"/>
  <c r="B52" i="10"/>
  <c r="D52" i="10" s="1"/>
  <c r="H8" i="10"/>
  <c r="H9" i="10"/>
  <c r="H10" i="10"/>
  <c r="H11" i="10"/>
  <c r="H12" i="10"/>
  <c r="H13" i="10"/>
  <c r="H14" i="10"/>
  <c r="H15" i="10"/>
  <c r="H16" i="10"/>
  <c r="B54" i="10"/>
  <c r="D54" i="10"/>
  <c r="B55" i="10"/>
  <c r="D55" i="10" s="1"/>
  <c r="B56" i="10"/>
  <c r="D56" i="10"/>
  <c r="B57" i="10"/>
  <c r="D57" i="10" s="1"/>
  <c r="B12" i="11"/>
  <c r="B26" i="11"/>
  <c r="B36" i="11"/>
  <c r="B41" i="11"/>
  <c r="C24" i="3"/>
  <c r="F24" i="3"/>
  <c r="C19" i="3"/>
  <c r="F19" i="3"/>
  <c r="C22" i="3"/>
  <c r="F22" i="3"/>
  <c r="C25" i="3"/>
  <c r="F25" i="3"/>
  <c r="C23" i="3"/>
  <c r="F23" i="3"/>
  <c r="B52" i="11"/>
  <c r="C30" i="3"/>
  <c r="C33" i="3"/>
  <c r="B50" i="11"/>
  <c r="B64" i="11"/>
  <c r="B105" i="11"/>
  <c r="D30" i="2"/>
  <c r="B9" i="12"/>
  <c r="B13" i="12"/>
  <c r="B8" i="12"/>
  <c r="B22" i="5"/>
  <c r="D22" i="5"/>
  <c r="B26" i="5"/>
  <c r="D26" i="5"/>
  <c r="B32" i="5"/>
  <c r="B23" i="5"/>
  <c r="D23" i="5"/>
  <c r="B27" i="5"/>
  <c r="D27" i="5" s="1"/>
  <c r="B24" i="5"/>
  <c r="D24" i="5"/>
  <c r="F17" i="3"/>
  <c r="C21" i="3"/>
  <c r="F21" i="3"/>
  <c r="B14" i="11"/>
  <c r="D20" i="5"/>
  <c r="C26" i="3"/>
  <c r="F26" i="3"/>
  <c r="F27" i="3"/>
  <c r="F14" i="3"/>
  <c r="B7" i="12"/>
  <c r="B21" i="12"/>
  <c r="B27" i="12"/>
  <c r="B31" i="12"/>
  <c r="C27" i="3"/>
  <c r="C35" i="3"/>
  <c r="D33" i="2"/>
  <c r="B32" i="2"/>
  <c r="C23" i="4"/>
  <c r="C19" i="4"/>
  <c r="C26" i="4"/>
  <c r="C22" i="4"/>
  <c r="C28" i="4"/>
  <c r="B35" i="2"/>
  <c r="C32" i="4"/>
  <c r="C29" i="4"/>
  <c r="C30" i="4"/>
  <c r="C39" i="4"/>
  <c r="C42" i="4"/>
  <c r="D17" i="4"/>
  <c r="C20" i="4"/>
  <c r="C25" i="4"/>
  <c r="C34" i="4"/>
  <c r="C33" i="4"/>
  <c r="C31" i="4"/>
  <c r="C27" i="4"/>
  <c r="B38" i="2"/>
  <c r="D39" i="2"/>
  <c r="D40" i="2" s="1"/>
  <c r="C44" i="4"/>
  <c r="C35" i="4"/>
  <c r="B39" i="2"/>
  <c r="D43" i="2" l="1"/>
  <c r="D28" i="2" s="1"/>
  <c r="B46" i="2" s="1"/>
  <c r="E20" i="8"/>
  <c r="B20" i="8"/>
  <c r="C4" i="8"/>
  <c r="C20" i="8"/>
  <c r="F4" i="8"/>
  <c r="F20" i="8"/>
  <c r="G17" i="10"/>
  <c r="B51" i="10" s="1"/>
  <c r="D51" i="10" s="1"/>
  <c r="D50" i="10"/>
  <c r="D42" i="10"/>
  <c r="H17" i="10"/>
  <c r="B53" i="10" s="1"/>
  <c r="D53" i="10" s="1"/>
  <c r="D58" i="10"/>
  <c r="D60" i="10" s="1"/>
  <c r="G14" i="5"/>
  <c r="B21" i="5" s="1"/>
  <c r="D21" i="5" s="1"/>
  <c r="D28" i="5" s="1"/>
  <c r="D29" i="5" s="1"/>
  <c r="B42" i="2" l="1"/>
  <c r="B45" i="2"/>
  <c r="D29" i="2"/>
  <c r="B28" i="2" s="1"/>
  <c r="B43" i="2"/>
  <c r="B41" i="2"/>
  <c r="B44" i="2"/>
  <c r="B58" i="10"/>
  <c r="B60" i="10" s="1"/>
  <c r="B28" i="5"/>
  <c r="B29" i="5" s="1"/>
  <c r="B47" i="2" l="1"/>
  <c r="B48" i="2" s="1"/>
  <c r="B37" i="5"/>
</calcChain>
</file>

<file path=xl/comments1.xml><?xml version="1.0" encoding="utf-8"?>
<comments xmlns="http://schemas.openxmlformats.org/spreadsheetml/2006/main">
  <authors>
    <author>Roberto</author>
  </authors>
  <commentList>
    <comment ref="C14" authorId="0">
      <text>
        <r>
          <rPr>
            <sz val="9"/>
            <color indexed="81"/>
            <rFont val="Tahoma"/>
            <family val="2"/>
          </rPr>
          <t>ICMS contendo a base do IPI.</t>
        </r>
      </text>
    </comment>
  </commentList>
</comments>
</file>

<file path=xl/sharedStrings.xml><?xml version="1.0" encoding="utf-8"?>
<sst xmlns="http://schemas.openxmlformats.org/spreadsheetml/2006/main" count="393" uniqueCount="237">
  <si>
    <t>OBS: PREÇO DE VENDA SEM IPI COMPUTADO</t>
  </si>
  <si>
    <t>ALÍQUOTAS</t>
  </si>
  <si>
    <t>%</t>
  </si>
  <si>
    <t>PRAZOS OPERACIONAIS</t>
  </si>
  <si>
    <t>DIAS</t>
  </si>
  <si>
    <t>IMPOSTO DE IMPORTAÇÃO</t>
  </si>
  <si>
    <t xml:space="preserve">CONCEDIDO </t>
  </si>
  <si>
    <t>IPI IMPORTAÇÃO</t>
  </si>
  <si>
    <t>ICMS DE IMPORTAÇÃO</t>
  </si>
  <si>
    <t>DESP. ALFÂNDEGA</t>
  </si>
  <si>
    <t>COMISSÃO</t>
  </si>
  <si>
    <t>SEGURO</t>
  </si>
  <si>
    <t>ICMS"NOMINAL" DE VENDA</t>
  </si>
  <si>
    <t>IPI DE VENDA</t>
  </si>
  <si>
    <t>ICMS "REAL" DE VENDA</t>
  </si>
  <si>
    <t>PIS</t>
  </si>
  <si>
    <t>COFINS</t>
  </si>
  <si>
    <t>C.FINANC.MENSAL %</t>
  </si>
  <si>
    <t>COMISSÃO  DE VENDAS</t>
  </si>
  <si>
    <t>FATOR DIÁRIO</t>
  </si>
  <si>
    <t>CUSTO FOB US$</t>
  </si>
  <si>
    <t>% M.CONTRIBUIÇÃO OBJETIVADA</t>
  </si>
  <si>
    <t>US$/R$</t>
  </si>
  <si>
    <t>1. A PARTIR DOS PREÇOS DO MERCADO</t>
  </si>
  <si>
    <t>2. A PARTIR DA MARGEM DE CONTRIBUIÇÃO</t>
  </si>
  <si>
    <t>P.VENDA NOMINAL</t>
  </si>
  <si>
    <t>P.VENDA REAL</t>
  </si>
  <si>
    <t>P.VENDA</t>
  </si>
  <si>
    <t>CUSTO FOB</t>
  </si>
  <si>
    <t>CUSTO CIF</t>
  </si>
  <si>
    <t>CRÉDITO IPI IMPORTAÇÃO</t>
  </si>
  <si>
    <t>ICMS IMPORT.</t>
  </si>
  <si>
    <t>CREDITO ICMS IMPORTAÇÃO</t>
  </si>
  <si>
    <t>CRÉDITO ICMS IMPORTAÇÃO</t>
  </si>
  <si>
    <t>DESPESAS DE ALFÂNDEGA</t>
  </si>
  <si>
    <t>ICMS DE VENDA</t>
  </si>
  <si>
    <t>CUSTO TOTAL REAL</t>
  </si>
  <si>
    <t xml:space="preserve">PIS </t>
  </si>
  <si>
    <t>MARGEM DE CONTRIBUIÇÃO</t>
  </si>
  <si>
    <t>MARGEM DE CONTRIBUIÇÃO %</t>
  </si>
  <si>
    <t>PREÇO DE PRODUTOS IMPORTADOS COM PAGAMENTO DE IPI NA VENDA</t>
  </si>
  <si>
    <t>FORMAÇÃO DE PREÇOS  DE PRODUTOS NACIONAIS A PARTIR DO MERCADO</t>
  </si>
  <si>
    <t xml:space="preserve">DADOS </t>
  </si>
  <si>
    <t>PREÇO DE VENDA</t>
  </si>
  <si>
    <t>% DEBITO ICMS</t>
  </si>
  <si>
    <t>CUSTO MERCADORIA</t>
  </si>
  <si>
    <t>% COMISSÃO</t>
  </si>
  <si>
    <t>PRAZO VENDA</t>
  </si>
  <si>
    <t>% PIS</t>
  </si>
  <si>
    <t>PRAZO DE COMPRA</t>
  </si>
  <si>
    <t>% COFINS</t>
  </si>
  <si>
    <t>% IR</t>
  </si>
  <si>
    <t>% CSSL</t>
  </si>
  <si>
    <t>C.FINANCEIRO MENSAL</t>
  </si>
  <si>
    <t xml:space="preserve">FATOR DIÁRIO </t>
  </si>
  <si>
    <t>% M.CONTRIBUIÇÃO</t>
  </si>
  <si>
    <t>ATINGIDA</t>
  </si>
  <si>
    <t>NOMINAL</t>
  </si>
  <si>
    <t>PRAZO</t>
  </si>
  <si>
    <t>REAL</t>
  </si>
  <si>
    <t>MAT.PRIMA 1</t>
  </si>
  <si>
    <t>DEBITO ICMS</t>
  </si>
  <si>
    <t>IRPJ</t>
  </si>
  <si>
    <t>CSSL</t>
  </si>
  <si>
    <t>M.CONTRIBUIÇÃO</t>
  </si>
  <si>
    <t>% M. CONTRIBUIÇÃO</t>
  </si>
  <si>
    <t>CAPITAL DE GIRO UNITÁRIO</t>
  </si>
  <si>
    <t>C.RECEBER</t>
  </si>
  <si>
    <t>ESTOQUES</t>
  </si>
  <si>
    <t>C.PAGAR M.PRIMA</t>
  </si>
  <si>
    <t>TOTAL</t>
  </si>
  <si>
    <t>RENTAB.OPERACIONAL %</t>
  </si>
  <si>
    <t>FORMAÇÃO DE PREÇOS DE PRODUTOS A PARTIR DA MARGEM DE CONTRIBUIÇÃO</t>
  </si>
  <si>
    <t>CUSTO PRODUTO</t>
  </si>
  <si>
    <t>ALIQUOTAS</t>
  </si>
  <si>
    <t>PRAZOS</t>
  </si>
  <si>
    <t>ICMS</t>
  </si>
  <si>
    <t>VENDA</t>
  </si>
  <si>
    <t>CRÉDITO ICMS</t>
  </si>
  <si>
    <t>COMPRA</t>
  </si>
  <si>
    <t>DIAS DE ESTOQUE</t>
  </si>
  <si>
    <t>% MARGEM CONTRIB. OBJETIVADA</t>
  </si>
  <si>
    <t>C.FINANC.MENSAL</t>
  </si>
  <si>
    <t>FATOR DIARIO</t>
  </si>
  <si>
    <t>DÉBITO ICMS</t>
  </si>
  <si>
    <t>M.CONTRIB.</t>
  </si>
  <si>
    <t>% M.C.</t>
  </si>
  <si>
    <t>C.GIRO UNITÁRIO</t>
  </si>
  <si>
    <t>RENTAB.OPERAC.%</t>
  </si>
  <si>
    <t>FORMAÇÃO DE PREÇOS DE SERVIÇOS A PARTIR DO MERCADO</t>
  </si>
  <si>
    <t>PREÇO VENDA</t>
  </si>
  <si>
    <t>ISS</t>
  </si>
  <si>
    <t>SALARIO</t>
  </si>
  <si>
    <t>HORAS</t>
  </si>
  <si>
    <t>CUSTO</t>
  </si>
  <si>
    <t xml:space="preserve">MÃO DE OBRA </t>
  </si>
  <si>
    <t>R$/MES</t>
  </si>
  <si>
    <t>ENCARGOS</t>
  </si>
  <si>
    <t>PROJETADAS</t>
  </si>
  <si>
    <t>Gerente Projetos</t>
  </si>
  <si>
    <t>Analista Senior</t>
  </si>
  <si>
    <t>Analista Júnior</t>
  </si>
  <si>
    <t>Assistente</t>
  </si>
  <si>
    <t>MÃO DE OBRA DIRETA</t>
  </si>
  <si>
    <t>CAPITAL DE GIRO</t>
  </si>
  <si>
    <t>RENTABILIDADE</t>
  </si>
  <si>
    <t>OPERACIONAL %</t>
  </si>
  <si>
    <t>C.SOCIAL</t>
  </si>
  <si>
    <t>DADOS</t>
  </si>
  <si>
    <t xml:space="preserve">                     ATUAL</t>
  </si>
  <si>
    <t>PROPOSTO</t>
  </si>
  <si>
    <t>CUSTO FIXO MENSAL</t>
  </si>
  <si>
    <t>P. DE EQUILIBRIO OPERACIONAL</t>
  </si>
  <si>
    <t>PRODUTOS</t>
  </si>
  <si>
    <t>% FATUR.</t>
  </si>
  <si>
    <t>%M.C.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</si>
  <si>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</si>
  <si>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</si>
  <si>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</si>
  <si>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</si>
  <si>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</si>
  <si>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</si>
  <si>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</si>
  <si>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</si>
  <si>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</si>
  <si>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</si>
  <si>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</si>
  <si>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</si>
  <si>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</si>
  <si>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</si>
  <si>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% REDUÇÃO CUSTO FIXO</t>
  </si>
  <si>
    <t>% CREDITO ICMS MATÉRIA PRIMA</t>
  </si>
  <si>
    <t xml:space="preserve">CREDITO ICMS </t>
  </si>
  <si>
    <t xml:space="preserve">CUSTO TOTAL </t>
  </si>
  <si>
    <t>PREÇO DE VENDA REAL</t>
  </si>
  <si>
    <t>C.Pagar MOD</t>
  </si>
  <si>
    <t>Cálculo da MOD Industrial (R$/mês)</t>
  </si>
  <si>
    <t>. REMUNERAÇÕES</t>
  </si>
  <si>
    <t xml:space="preserve">. Salários </t>
  </si>
  <si>
    <t>. Outras remunerações</t>
  </si>
  <si>
    <t>. ENCARGOS SOCIAIS</t>
  </si>
  <si>
    <t xml:space="preserve">. INSS </t>
  </si>
  <si>
    <t xml:space="preserve">. FGTS </t>
  </si>
  <si>
    <t>. Vale Transporte</t>
  </si>
  <si>
    <t>. Rescisões Trabalhistas</t>
  </si>
  <si>
    <t>. 13º Salário</t>
  </si>
  <si>
    <t>. Férias</t>
  </si>
  <si>
    <t>. BENEFÍCIOS SOCIAIS</t>
  </si>
  <si>
    <t xml:space="preserve">. Plano Saúde </t>
  </si>
  <si>
    <t xml:space="preserve">. Alimentação - Vale Refeição </t>
  </si>
  <si>
    <t>. Treinamento a Empregados</t>
  </si>
  <si>
    <t>. Seguro de Vida</t>
  </si>
  <si>
    <t>. TOTAL MÃO DE OBRA DIRETA</t>
  </si>
  <si>
    <t>Número de operários na produção direta</t>
  </si>
  <si>
    <t>horas mês disponíveis</t>
  </si>
  <si>
    <t>Custo MOD ( R$/Hora)</t>
  </si>
  <si>
    <t>Horas p/produção de A (H/unidade)</t>
  </si>
  <si>
    <t>Custo Unitário da MOD prod. A (R$/unidade)</t>
  </si>
  <si>
    <t>PLANO DE CONTAS : CUSTOS e Despesas Indiretas</t>
  </si>
  <si>
    <t>MÉDIA SEMESTRAL</t>
  </si>
  <si>
    <t>VALORES EM R$</t>
  </si>
  <si>
    <t>Mão de Obra Indireta</t>
  </si>
  <si>
    <t>. TOTAL MÃO DE OBRA INDIRETA</t>
  </si>
  <si>
    <t>Outros Custos Indiretos de Fabricação</t>
  </si>
  <si>
    <t>Aluguel da fábrica</t>
  </si>
  <si>
    <t>Seguros das máquinas</t>
  </si>
  <si>
    <t>Insumos complementares</t>
  </si>
  <si>
    <t>Energia elétrica da fábrica</t>
  </si>
  <si>
    <t>Depreciação das máquinas</t>
  </si>
  <si>
    <t xml:space="preserve">Total </t>
  </si>
  <si>
    <t>Custo Indireto de Fabricação Total</t>
  </si>
  <si>
    <t>Unidades produzidas mensalmente</t>
  </si>
  <si>
    <t>(inclui todos os produtos)</t>
  </si>
  <si>
    <t>Custo Indireto Unitário (R$/unidade)</t>
  </si>
  <si>
    <t>DESPESAS INDIRETAS</t>
  </si>
  <si>
    <t>. Pró-labore</t>
  </si>
  <si>
    <t>Total Pessoal Administrativo</t>
  </si>
  <si>
    <t>Outras Despesas Indiretas</t>
  </si>
  <si>
    <t>. OCUPAÇÃO</t>
  </si>
  <si>
    <t xml:space="preserve">. Aluguel </t>
  </si>
  <si>
    <t xml:space="preserve">. IPTU </t>
  </si>
  <si>
    <t>. PREST.DE SERVIÇOS</t>
  </si>
  <si>
    <t>. Contabilidade</t>
  </si>
  <si>
    <t>. Segurança</t>
  </si>
  <si>
    <t xml:space="preserve">. Outros </t>
  </si>
  <si>
    <t>. TARIFAS PÚBLICAS</t>
  </si>
  <si>
    <t>. Luz</t>
  </si>
  <si>
    <t>. Água</t>
  </si>
  <si>
    <t xml:space="preserve">. Telefone </t>
  </si>
  <si>
    <t>. SEGUROS</t>
  </si>
  <si>
    <t>. Seguro de Veículos</t>
  </si>
  <si>
    <t>. LEASING / LOCAÇÃO</t>
  </si>
  <si>
    <t>. Leasing Veículos</t>
  </si>
  <si>
    <t>. Leasing de Maquina  XEROX</t>
  </si>
  <si>
    <t>. MANUTENÇÃO E REPAROS</t>
  </si>
  <si>
    <t xml:space="preserve">. Manut. Reparo Veículos </t>
  </si>
  <si>
    <t>. Manut. Reparo de Maq. e Equip.Escrit.</t>
  </si>
  <si>
    <t>. Manut. e Reparo Predial</t>
  </si>
  <si>
    <t>. Taxa de Manut.de Informática</t>
  </si>
  <si>
    <t>DEPRECIAÇÃO DE EQUIPAMENTOS</t>
  </si>
  <si>
    <t>. DESPESAS GERAIS</t>
  </si>
  <si>
    <t>TOTAL ADMINISTRATIVAS</t>
  </si>
  <si>
    <t>. DESPESAS FINANCEIRAS</t>
  </si>
  <si>
    <t>. Despesas c/Juros / Multas</t>
  </si>
  <si>
    <t>. Descontos em Faturas</t>
  </si>
  <si>
    <t>. Tarifas Bancárias</t>
  </si>
  <si>
    <t xml:space="preserve">TOTAL DESPESAS INDIRETAS </t>
  </si>
  <si>
    <t>ANÁLISE DAS MARGENS DE CONTRIBUIÇÃO POR PRODUTO</t>
  </si>
  <si>
    <t xml:space="preserve">PRODUTO : </t>
  </si>
  <si>
    <t>DADOS DOS INSUMOS / MATÉRIAS PRIMAS</t>
  </si>
  <si>
    <t xml:space="preserve">              CRÉDITO DE</t>
  </si>
  <si>
    <t>MATÉRIAS</t>
  </si>
  <si>
    <t>UNIDADE</t>
  </si>
  <si>
    <t>CONSUMO</t>
  </si>
  <si>
    <t>CUSTO(R$)</t>
  </si>
  <si>
    <t xml:space="preserve">     IMPOSTOS</t>
  </si>
  <si>
    <t>PRIMAS</t>
  </si>
  <si>
    <t>P/UNIDADE</t>
  </si>
  <si>
    <t>C/ IPI  E ICMS</t>
  </si>
  <si>
    <t>IPI</t>
  </si>
  <si>
    <t>KG</t>
  </si>
  <si>
    <t>PC</t>
  </si>
  <si>
    <t>Preço (R$/unid.) sem IPI</t>
  </si>
  <si>
    <t>Prazo concedido (dias)</t>
  </si>
  <si>
    <t>IMPOSTOS DE VENDA</t>
  </si>
  <si>
    <t>COMISSÃO %</t>
  </si>
  <si>
    <t>Fator Financeiro Diário</t>
  </si>
  <si>
    <t>P.VENDA SEM IPI</t>
  </si>
  <si>
    <t>MOD</t>
  </si>
  <si>
    <t xml:space="preserve">CRÉDITO ICMS </t>
  </si>
  <si>
    <t>CRÉDITO IPI</t>
  </si>
  <si>
    <t>PIS DE IMPORTAÇÃO</t>
  </si>
  <si>
    <t>COFINS DE IMPORTAÇÃO</t>
  </si>
  <si>
    <t>FRETE DE IMPORTAÇÃO</t>
  </si>
  <si>
    <t xml:space="preserve">FRETE </t>
  </si>
  <si>
    <t>CSLL</t>
  </si>
  <si>
    <t xml:space="preserve">                    PONTO DE EQUILÍBRIO OPERACIONAL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</si>
</sst>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&quot;-&quot;??_);_(@_)"/>
    <numFmt numFmtId="165" formatCode="0.0000"/>
    <numFmt numFmtId="166" formatCode="#,##0.0"/>
    <numFmt numFmtId="167" formatCode="0.0"/>
    <numFmt numFmtId="168" formatCode="#,##0.0_);[Red]\(#,##0.0\)"/>
    <numFmt numFmtId="169" formatCode="_(* #,##0_);_(* \(#,##0\);_(* &quot;-&quot;??_);_(@_)"/>
    <numFmt numFmtId="170" formatCode="#,##0.0000"/>
    <numFmt numFmtId="171" formatCode="0.00_ ;[Red]\-0.00\ "/>
  </numFmts>
  <fonts count="8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0"/>
      <name val="MS Sans Serif"/>
      <family val="2"/>
    </font>
    <font>
      <sz val="10"/>
      <color indexed="8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Fill="1"/>
    <xf numFmtId="2" fontId="0" fillId="0" borderId="0" xfId="0" applyNumberFormat="1" applyFill="1"/>
    <xf numFmtId="0" fontId="0" fillId="2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1" fillId="0" borderId="0" xfId="0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2" fontId="0" fillId="2" borderId="0" xfId="0" applyNumberFormat="1" applyFill="1"/>
    <xf numFmtId="0" fontId="0" fillId="0" borderId="0" xfId="0" applyFill="1" applyAlignment="1"/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65" fontId="0" fillId="2" borderId="0" xfId="0" applyNumberFormat="1" applyFill="1" applyAlignment="1">
      <alignment horizontal="center"/>
    </xf>
    <xf numFmtId="4" fontId="0" fillId="2" borderId="0" xfId="0" applyNumberForma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40" fontId="0" fillId="2" borderId="0" xfId="0" applyNumberFormat="1" applyFill="1" applyAlignment="1">
      <alignment horizontal="center"/>
    </xf>
    <xf numFmtId="40" fontId="0" fillId="0" borderId="0" xfId="0" applyNumberFormat="1" applyFill="1" applyAlignment="1">
      <alignment horizontal="center"/>
    </xf>
    <xf numFmtId="168" fontId="0" fillId="2" borderId="0" xfId="0" applyNumberFormat="1" applyFill="1" applyAlignment="1">
      <alignment horizontal="center"/>
    </xf>
    <xf numFmtId="3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166" fontId="1" fillId="2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quotePrefix="1" applyFont="1" applyAlignment="1">
      <alignment horizontal="right"/>
    </xf>
    <xf numFmtId="3" fontId="1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3" fontId="1" fillId="2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166" fontId="0" fillId="2" borderId="0" xfId="0" applyNumberFormat="1" applyFill="1" applyAlignment="1">
      <alignment horizontal="center"/>
    </xf>
    <xf numFmtId="170" fontId="0" fillId="2" borderId="0" xfId="0" applyNumberFormat="1" applyFill="1" applyAlignment="1">
      <alignment horizontal="center"/>
    </xf>
    <xf numFmtId="170" fontId="0" fillId="0" borderId="0" xfId="0" applyNumberFormat="1" applyFill="1" applyAlignment="1">
      <alignment horizontal="center"/>
    </xf>
    <xf numFmtId="39" fontId="0" fillId="2" borderId="0" xfId="0" applyNumberFormat="1" applyFill="1" applyAlignment="1">
      <alignment horizontal="center"/>
    </xf>
    <xf numFmtId="39" fontId="0" fillId="0" borderId="0" xfId="0" applyNumberFormat="1" applyFill="1" applyAlignment="1">
      <alignment horizontal="center"/>
    </xf>
    <xf numFmtId="39" fontId="1" fillId="2" borderId="0" xfId="0" applyNumberFormat="1" applyFont="1" applyFill="1" applyAlignment="1">
      <alignment horizontal="center"/>
    </xf>
    <xf numFmtId="39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6" fillId="2" borderId="0" xfId="0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39" fontId="6" fillId="2" borderId="0" xfId="2" applyNumberFormat="1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167" fontId="6" fillId="2" borderId="0" xfId="0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9" fontId="0" fillId="0" borderId="0" xfId="1" applyFont="1" applyFill="1" applyAlignment="1">
      <alignment horizontal="center"/>
    </xf>
    <xf numFmtId="9" fontId="0" fillId="2" borderId="0" xfId="1" applyFont="1" applyFill="1" applyAlignment="1">
      <alignment horizontal="center"/>
    </xf>
    <xf numFmtId="164" fontId="0" fillId="0" borderId="0" xfId="2" applyFont="1" applyFill="1" applyAlignment="1">
      <alignment horizontal="center"/>
    </xf>
    <xf numFmtId="169" fontId="0" fillId="0" borderId="0" xfId="2" applyNumberFormat="1" applyFont="1" applyFill="1" applyAlignment="1">
      <alignment horizontal="center"/>
    </xf>
    <xf numFmtId="10" fontId="0" fillId="0" borderId="0" xfId="1" applyNumberFormat="1" applyFon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171" fontId="0" fillId="0" borderId="0" xfId="0" applyNumberFormat="1"/>
    <xf numFmtId="10" fontId="6" fillId="0" borderId="0" xfId="1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2" borderId="0" xfId="0" applyNumberFormat="1" applyFont="1" applyFill="1" applyAlignment="1">
      <alignment horizontal="center"/>
    </xf>
    <xf numFmtId="165" fontId="6" fillId="3" borderId="0" xfId="0" applyNumberFormat="1" applyFont="1" applyFill="1" applyAlignment="1">
      <alignment horizontal="center"/>
    </xf>
    <xf numFmtId="16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166" fontId="6" fillId="2" borderId="0" xfId="0" applyNumberFormat="1" applyFont="1" applyFill="1" applyAlignment="1">
      <alignment horizontal="center"/>
    </xf>
    <xf numFmtId="166" fontId="6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us%20documentos/Livro%202%20Revisado%202002/INDUST%20rev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4.6"/>
      <sheetName val="tabela 4.7 "/>
      <sheetName val="tabela 4.8"/>
      <sheetName val="tabela 4.9"/>
    </sheetNames>
    <sheetDataSet>
      <sheetData sheetId="0">
        <row r="4">
          <cell r="B4">
            <v>78000</v>
          </cell>
        </row>
        <row r="7">
          <cell r="B7">
            <v>48270.425000000003</v>
          </cell>
        </row>
        <row r="31">
          <cell r="B31">
            <v>7.4331752717391302</v>
          </cell>
        </row>
      </sheetData>
      <sheetData sheetId="1">
        <row r="38">
          <cell r="B38">
            <v>25000</v>
          </cell>
        </row>
      </sheetData>
      <sheetData sheetId="2">
        <row r="30">
          <cell r="B30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opLeftCell="A5" workbookViewId="0">
      <selection activeCell="A3" sqref="A3:G35"/>
    </sheetView>
  </sheetViews>
  <sheetFormatPr defaultColWidth="11.42578125" defaultRowHeight="12.75" x14ac:dyDescent="0.2"/>
  <cols>
    <col min="1" max="1" width="31.28515625" style="6" customWidth="1"/>
    <col min="2" max="2" width="4.7109375" style="6" customWidth="1"/>
    <col min="3" max="3" width="9.5703125" style="6" customWidth="1"/>
    <col min="4" max="4" width="4.7109375" style="6" customWidth="1"/>
    <col min="5" max="5" width="29.42578125" style="6" customWidth="1"/>
    <col min="6" max="6" width="7" style="6" customWidth="1"/>
    <col min="7" max="7" width="5.5703125" style="6" customWidth="1"/>
    <col min="8" max="255" width="9.140625" style="6" customWidth="1"/>
    <col min="256" max="16384" width="11.42578125" style="6"/>
  </cols>
  <sheetData>
    <row r="1" spans="1:7" x14ac:dyDescent="0.2">
      <c r="A1" s="9" t="s">
        <v>41</v>
      </c>
    </row>
    <row r="3" spans="1:7" x14ac:dyDescent="0.2">
      <c r="A3" s="10" t="s">
        <v>1</v>
      </c>
      <c r="B3" s="4"/>
      <c r="C3" s="4"/>
      <c r="D3" s="4"/>
      <c r="E3" s="9" t="s">
        <v>42</v>
      </c>
      <c r="G3" s="4"/>
    </row>
    <row r="4" spans="1:7" x14ac:dyDescent="0.2">
      <c r="A4" s="6" t="s">
        <v>131</v>
      </c>
      <c r="C4" s="6">
        <v>18</v>
      </c>
      <c r="D4" s="4"/>
      <c r="E4" s="6" t="s">
        <v>43</v>
      </c>
      <c r="F4" s="6">
        <v>160</v>
      </c>
    </row>
    <row r="5" spans="1:7" x14ac:dyDescent="0.2">
      <c r="A5" s="6" t="s">
        <v>44</v>
      </c>
      <c r="C5" s="6">
        <v>18</v>
      </c>
      <c r="D5" s="4"/>
      <c r="E5" s="6" t="s">
        <v>45</v>
      </c>
      <c r="F5" s="6">
        <v>100</v>
      </c>
    </row>
    <row r="6" spans="1:7" x14ac:dyDescent="0.2">
      <c r="A6" s="6" t="s">
        <v>46</v>
      </c>
      <c r="C6" s="6">
        <v>2</v>
      </c>
      <c r="D6" s="4"/>
      <c r="E6" s="6" t="s">
        <v>47</v>
      </c>
      <c r="F6" s="6">
        <v>30</v>
      </c>
    </row>
    <row r="7" spans="1:7" x14ac:dyDescent="0.2">
      <c r="A7" s="6" t="s">
        <v>48</v>
      </c>
      <c r="C7" s="6">
        <v>0.65</v>
      </c>
      <c r="D7" s="4"/>
      <c r="E7" s="6" t="s">
        <v>49</v>
      </c>
      <c r="F7" s="6">
        <v>15</v>
      </c>
    </row>
    <row r="8" spans="1:7" x14ac:dyDescent="0.2">
      <c r="A8" s="6" t="s">
        <v>50</v>
      </c>
      <c r="C8" s="6">
        <v>3</v>
      </c>
      <c r="D8" s="4"/>
      <c r="E8" s="6" t="s">
        <v>80</v>
      </c>
      <c r="F8" s="6">
        <v>30</v>
      </c>
    </row>
    <row r="9" spans="1:7" x14ac:dyDescent="0.2">
      <c r="A9" s="6" t="s">
        <v>51</v>
      </c>
      <c r="C9" s="6">
        <v>1.2</v>
      </c>
      <c r="D9" s="4"/>
      <c r="E9"/>
      <c r="F9"/>
    </row>
    <row r="10" spans="1:7" x14ac:dyDescent="0.2">
      <c r="A10" s="6" t="s">
        <v>52</v>
      </c>
      <c r="C10" s="6">
        <v>1.08</v>
      </c>
      <c r="D10" s="4"/>
      <c r="E10" s="6" t="s">
        <v>53</v>
      </c>
      <c r="F10" s="6">
        <v>1</v>
      </c>
    </row>
    <row r="11" spans="1:7" x14ac:dyDescent="0.2">
      <c r="D11" s="4"/>
      <c r="E11" s="6" t="s">
        <v>54</v>
      </c>
      <c r="F11" s="8">
        <f>(F10/100+1)^(1/30)</f>
        <v>1.0003317327062342</v>
      </c>
    </row>
    <row r="12" spans="1:7" x14ac:dyDescent="0.2">
      <c r="D12" s="4"/>
      <c r="F12" s="8"/>
    </row>
    <row r="13" spans="1:7" x14ac:dyDescent="0.2">
      <c r="A13" s="3"/>
      <c r="B13" s="3"/>
      <c r="C13" s="3"/>
      <c r="D13" s="4"/>
      <c r="E13" s="6" t="s">
        <v>55</v>
      </c>
      <c r="F13" s="7"/>
    </row>
    <row r="14" spans="1:7" x14ac:dyDescent="0.2">
      <c r="A14" s="4"/>
      <c r="B14" s="4"/>
      <c r="C14" s="4"/>
      <c r="D14" s="4"/>
      <c r="E14" s="6" t="s">
        <v>56</v>
      </c>
      <c r="F14" s="15">
        <f>F27</f>
        <v>22.361477367994386</v>
      </c>
    </row>
    <row r="15" spans="1:7" x14ac:dyDescent="0.2">
      <c r="A15" s="4"/>
      <c r="B15" s="4"/>
      <c r="C15" s="4"/>
      <c r="D15" s="4"/>
      <c r="G15" s="4"/>
    </row>
    <row r="16" spans="1:7" x14ac:dyDescent="0.2">
      <c r="A16" s="4"/>
      <c r="B16" s="4"/>
      <c r="C16" s="10" t="s">
        <v>57</v>
      </c>
      <c r="D16" s="4"/>
      <c r="E16" s="10" t="s">
        <v>58</v>
      </c>
      <c r="F16" s="10" t="s">
        <v>59</v>
      </c>
      <c r="G16" s="4"/>
    </row>
    <row r="17" spans="1:7" x14ac:dyDescent="0.2">
      <c r="A17" s="4" t="s">
        <v>27</v>
      </c>
      <c r="B17" s="4"/>
      <c r="C17" s="13">
        <f>F4</f>
        <v>160</v>
      </c>
      <c r="D17" s="5"/>
      <c r="E17" s="14">
        <f>F6</f>
        <v>30</v>
      </c>
      <c r="F17" s="13">
        <f t="shared" ref="F17:F25" si="0">C17/($F$11^E17)</f>
        <v>158.41584158415824</v>
      </c>
      <c r="G17" s="4"/>
    </row>
    <row r="18" spans="1:7" x14ac:dyDescent="0.2">
      <c r="A18" s="4" t="s">
        <v>60</v>
      </c>
      <c r="B18" s="4"/>
      <c r="C18" s="13">
        <f>-F5</f>
        <v>-100</v>
      </c>
      <c r="D18" s="5"/>
      <c r="E18" s="11">
        <v>15</v>
      </c>
      <c r="F18" s="13">
        <f t="shared" si="0"/>
        <v>-99.503719020998858</v>
      </c>
      <c r="G18" s="4"/>
    </row>
    <row r="19" spans="1:7" x14ac:dyDescent="0.2">
      <c r="A19" s="4" t="s">
        <v>10</v>
      </c>
      <c r="B19" s="4"/>
      <c r="C19" s="13">
        <f>-C17*C6/100</f>
        <v>-3.2</v>
      </c>
      <c r="D19" s="5"/>
      <c r="E19" s="11"/>
      <c r="F19" s="13">
        <f t="shared" si="0"/>
        <v>-3.2</v>
      </c>
      <c r="G19" s="4"/>
    </row>
    <row r="20" spans="1:7" x14ac:dyDescent="0.2">
      <c r="A20" s="4" t="s">
        <v>132</v>
      </c>
      <c r="B20" s="4"/>
      <c r="C20" s="13">
        <f>-C18*C4/100</f>
        <v>18</v>
      </c>
      <c r="D20" s="5"/>
      <c r="E20" s="11"/>
      <c r="F20" s="13">
        <f t="shared" si="0"/>
        <v>18</v>
      </c>
      <c r="G20" s="4"/>
    </row>
    <row r="21" spans="1:7" x14ac:dyDescent="0.2">
      <c r="A21" s="4" t="s">
        <v>61</v>
      </c>
      <c r="B21" s="4"/>
      <c r="C21" s="13">
        <f>-C17*C5/100</f>
        <v>-28.8</v>
      </c>
      <c r="D21" s="5"/>
      <c r="E21" s="11"/>
      <c r="F21" s="13">
        <f t="shared" si="0"/>
        <v>-28.8</v>
      </c>
      <c r="G21" s="4"/>
    </row>
    <row r="22" spans="1:7" x14ac:dyDescent="0.2">
      <c r="A22" s="4" t="s">
        <v>15</v>
      </c>
      <c r="B22" s="4"/>
      <c r="C22" s="13">
        <f>-C17*C7/100</f>
        <v>-1.04</v>
      </c>
      <c r="D22" s="5"/>
      <c r="E22" s="11"/>
      <c r="F22" s="13">
        <f t="shared" si="0"/>
        <v>-1.04</v>
      </c>
      <c r="G22" s="4"/>
    </row>
    <row r="23" spans="1:7" x14ac:dyDescent="0.2">
      <c r="A23" s="4" t="s">
        <v>16</v>
      </c>
      <c r="B23" s="4"/>
      <c r="C23" s="13">
        <f>-C17*C8/100</f>
        <v>-4.8</v>
      </c>
      <c r="D23" s="5"/>
      <c r="E23" s="11"/>
      <c r="F23" s="13">
        <f t="shared" si="0"/>
        <v>-4.8</v>
      </c>
      <c r="G23" s="4"/>
    </row>
    <row r="24" spans="1:7" x14ac:dyDescent="0.2">
      <c r="A24" s="4" t="s">
        <v>62</v>
      </c>
      <c r="B24" s="4"/>
      <c r="C24" s="13">
        <f>-C17*C9/100</f>
        <v>-1.92</v>
      </c>
      <c r="D24" s="5"/>
      <c r="E24" s="11"/>
      <c r="F24" s="13">
        <f t="shared" si="0"/>
        <v>-1.92</v>
      </c>
      <c r="G24" s="4"/>
    </row>
    <row r="25" spans="1:7" x14ac:dyDescent="0.2">
      <c r="A25" s="4" t="s">
        <v>63</v>
      </c>
      <c r="B25" s="4"/>
      <c r="C25" s="13">
        <f>-C17*C10/100</f>
        <v>-1.7280000000000002</v>
      </c>
      <c r="D25" s="5"/>
      <c r="E25" s="11"/>
      <c r="F25" s="13">
        <f t="shared" si="0"/>
        <v>-1.7280000000000002</v>
      </c>
      <c r="G25" s="4"/>
    </row>
    <row r="26" spans="1:7" x14ac:dyDescent="0.2">
      <c r="A26" s="4" t="s">
        <v>64</v>
      </c>
      <c r="B26" s="4"/>
      <c r="C26" s="13">
        <f>SUM(C17:C25)</f>
        <v>36.512</v>
      </c>
      <c r="D26" s="5"/>
      <c r="E26" s="5"/>
      <c r="F26" s="13">
        <f>SUM(F17:F25)</f>
        <v>35.424122563159386</v>
      </c>
      <c r="G26" s="4"/>
    </row>
    <row r="27" spans="1:7" x14ac:dyDescent="0.2">
      <c r="A27" s="4" t="s">
        <v>65</v>
      </c>
      <c r="B27" s="4"/>
      <c r="C27" s="14">
        <f>(C26/C17)*100</f>
        <v>22.82</v>
      </c>
      <c r="D27" s="5"/>
      <c r="E27" s="5"/>
      <c r="F27" s="13">
        <f>(F26/F17)*100</f>
        <v>22.361477367994386</v>
      </c>
      <c r="G27" s="4"/>
    </row>
    <row r="28" spans="1:7" x14ac:dyDescent="0.2">
      <c r="A28" s="4"/>
      <c r="B28" s="4"/>
      <c r="C28" s="5"/>
      <c r="D28" s="5"/>
      <c r="E28" s="5"/>
      <c r="F28" s="5"/>
      <c r="G28" s="4"/>
    </row>
    <row r="29" spans="1:7" x14ac:dyDescent="0.2">
      <c r="A29" s="10" t="s">
        <v>66</v>
      </c>
      <c r="B29" s="4"/>
      <c r="C29" s="5"/>
      <c r="D29" s="5"/>
      <c r="E29" s="5"/>
      <c r="F29" s="5"/>
      <c r="G29" s="4"/>
    </row>
    <row r="30" spans="1:7" x14ac:dyDescent="0.2">
      <c r="A30" s="4" t="s">
        <v>67</v>
      </c>
      <c r="B30" s="4"/>
      <c r="C30" s="13">
        <f>-(C17*E17)/30</f>
        <v>-160</v>
      </c>
      <c r="D30" s="4"/>
      <c r="E30" s="4"/>
      <c r="F30" s="5"/>
      <c r="G30" s="4"/>
    </row>
    <row r="31" spans="1:7" x14ac:dyDescent="0.2">
      <c r="A31" s="4" t="s">
        <v>68</v>
      </c>
      <c r="B31" s="4"/>
      <c r="C31" s="13">
        <f>(C18*F8)/30</f>
        <v>-100</v>
      </c>
      <c r="D31" s="4"/>
      <c r="E31" s="4"/>
      <c r="F31" s="5"/>
      <c r="G31" s="4"/>
    </row>
    <row r="32" spans="1:7" x14ac:dyDescent="0.2">
      <c r="A32" s="4" t="s">
        <v>69</v>
      </c>
      <c r="B32" s="4"/>
      <c r="C32" s="13">
        <f>-(C18*E18)/30</f>
        <v>50</v>
      </c>
      <c r="D32" s="4"/>
      <c r="E32" s="4"/>
      <c r="F32" s="5"/>
      <c r="G32" s="4"/>
    </row>
    <row r="33" spans="1:7" x14ac:dyDescent="0.2">
      <c r="A33" s="4" t="s">
        <v>70</v>
      </c>
      <c r="B33" s="4"/>
      <c r="C33" s="13">
        <f>SUM(C30:C32)</f>
        <v>-210</v>
      </c>
      <c r="D33" s="4"/>
      <c r="E33" s="4"/>
      <c r="F33" s="5"/>
      <c r="G33" s="4"/>
    </row>
    <row r="34" spans="1:7" x14ac:dyDescent="0.2">
      <c r="A34" s="4"/>
      <c r="B34" s="4"/>
      <c r="C34" s="5"/>
      <c r="D34" s="4"/>
      <c r="E34" s="4"/>
      <c r="F34" s="5"/>
      <c r="G34" s="4"/>
    </row>
    <row r="35" spans="1:7" x14ac:dyDescent="0.2">
      <c r="A35" s="4" t="s">
        <v>71</v>
      </c>
      <c r="B35" s="4"/>
      <c r="C35" s="13">
        <f>-(C26/C33)*100</f>
        <v>17.386666666666667</v>
      </c>
      <c r="D35" s="4"/>
      <c r="E35" s="4"/>
      <c r="F35" s="5"/>
      <c r="G35" s="4"/>
    </row>
    <row r="36" spans="1:7" x14ac:dyDescent="0.2">
      <c r="A36" s="4"/>
      <c r="B36" s="4"/>
      <c r="C36" s="5"/>
      <c r="D36" s="4"/>
      <c r="E36" s="4"/>
      <c r="F36" s="5"/>
      <c r="G36" s="4"/>
    </row>
    <row r="37" spans="1:7" x14ac:dyDescent="0.2">
      <c r="A37" s="12"/>
      <c r="B37" s="4"/>
      <c r="C37" s="5"/>
      <c r="D37" s="4"/>
      <c r="E37" s="4"/>
      <c r="F37" s="5"/>
      <c r="G37" s="4"/>
    </row>
    <row r="38" spans="1:7" x14ac:dyDescent="0.2">
      <c r="A38" s="4"/>
      <c r="B38" s="4"/>
      <c r="C38" s="5"/>
      <c r="D38" s="4"/>
      <c r="E38" s="4"/>
      <c r="F38" s="5"/>
      <c r="G38" s="4"/>
    </row>
    <row r="39" spans="1:7" x14ac:dyDescent="0.2">
      <c r="A39" s="4"/>
      <c r="B39" s="4"/>
      <c r="C39" s="5"/>
      <c r="D39" s="4"/>
      <c r="E39" s="4"/>
      <c r="F39" s="5"/>
      <c r="G39" s="4"/>
    </row>
    <row r="40" spans="1:7" x14ac:dyDescent="0.2">
      <c r="A40" s="4"/>
      <c r="B40" s="4"/>
      <c r="C40" s="5"/>
      <c r="D40" s="4"/>
      <c r="E40" s="4"/>
      <c r="F40" s="5"/>
      <c r="G40" s="4"/>
    </row>
    <row r="41" spans="1:7" x14ac:dyDescent="0.2">
      <c r="A41" s="4"/>
      <c r="B41" s="4"/>
      <c r="C41" s="5"/>
      <c r="D41" s="4"/>
      <c r="E41" s="4"/>
      <c r="F41" s="5"/>
      <c r="G41" s="4"/>
    </row>
    <row r="42" spans="1:7" x14ac:dyDescent="0.2">
      <c r="A42" s="4"/>
      <c r="B42" s="4"/>
      <c r="C42" s="5"/>
      <c r="D42" s="4"/>
      <c r="E42" s="4"/>
      <c r="F42" s="5"/>
      <c r="G42" s="4"/>
    </row>
    <row r="43" spans="1:7" x14ac:dyDescent="0.2">
      <c r="A43" s="4"/>
      <c r="B43" s="4"/>
      <c r="C43" s="5"/>
      <c r="D43" s="4"/>
      <c r="E43" s="4"/>
      <c r="F43" s="5"/>
      <c r="G43" s="4"/>
    </row>
    <row r="44" spans="1:7" x14ac:dyDescent="0.2">
      <c r="A44" s="4"/>
      <c r="B44" s="4"/>
      <c r="C44" s="5"/>
      <c r="D44" s="4"/>
      <c r="E44" s="4"/>
      <c r="F44" s="5"/>
      <c r="G44" s="4"/>
    </row>
    <row r="45" spans="1:7" x14ac:dyDescent="0.2">
      <c r="A45" s="4"/>
      <c r="B45" s="4"/>
      <c r="C45" s="5"/>
      <c r="D45" s="4"/>
      <c r="E45" s="4"/>
      <c r="F45" s="5"/>
      <c r="G45" s="4"/>
    </row>
    <row r="46" spans="1:7" x14ac:dyDescent="0.2">
      <c r="C46" s="5"/>
      <c r="D46" s="4"/>
    </row>
    <row r="47" spans="1:7" x14ac:dyDescent="0.2">
      <c r="C47" s="5"/>
      <c r="D47" s="4"/>
    </row>
    <row r="48" spans="1:7" x14ac:dyDescent="0.2">
      <c r="C48" s="5"/>
      <c r="D48" s="4"/>
    </row>
    <row r="49" spans="3:4" x14ac:dyDescent="0.2">
      <c r="C49" s="5"/>
      <c r="D49" s="4"/>
    </row>
    <row r="50" spans="3:4" x14ac:dyDescent="0.2">
      <c r="C50" s="5"/>
      <c r="D50" s="4"/>
    </row>
    <row r="51" spans="3:4" x14ac:dyDescent="0.2">
      <c r="C51" s="5"/>
      <c r="D51" s="4"/>
    </row>
    <row r="52" spans="3:4" x14ac:dyDescent="0.2">
      <c r="C52" s="5"/>
      <c r="D52" s="4"/>
    </row>
    <row r="53" spans="3:4" x14ac:dyDescent="0.2">
      <c r="C53" s="5"/>
      <c r="D53" s="4"/>
    </row>
    <row r="54" spans="3:4" x14ac:dyDescent="0.2">
      <c r="C54" s="5"/>
      <c r="D54" s="4"/>
    </row>
    <row r="55" spans="3:4" x14ac:dyDescent="0.2">
      <c r="C55" s="5"/>
      <c r="D55" s="4"/>
    </row>
    <row r="56" spans="3:4" x14ac:dyDescent="0.2">
      <c r="C56" s="5"/>
      <c r="D56" s="4"/>
    </row>
    <row r="57" spans="3:4" x14ac:dyDescent="0.2">
      <c r="C57" s="5"/>
      <c r="D57" s="4"/>
    </row>
    <row r="58" spans="3:4" x14ac:dyDescent="0.2">
      <c r="C58" s="5"/>
      <c r="D58" s="4"/>
    </row>
    <row r="59" spans="3:4" x14ac:dyDescent="0.2">
      <c r="C59" s="5"/>
      <c r="D59" s="4"/>
    </row>
    <row r="60" spans="3:4" x14ac:dyDescent="0.2">
      <c r="C60" s="5"/>
      <c r="D60" s="4"/>
    </row>
    <row r="61" spans="3:4" x14ac:dyDescent="0.2">
      <c r="C61" s="5"/>
      <c r="D61" s="4"/>
    </row>
    <row r="62" spans="3:4" x14ac:dyDescent="0.2">
      <c r="C62" s="5"/>
      <c r="D62" s="4"/>
    </row>
    <row r="63" spans="3:4" x14ac:dyDescent="0.2">
      <c r="C63" s="5"/>
      <c r="D63" s="4"/>
    </row>
    <row r="64" spans="3:4" x14ac:dyDescent="0.2">
      <c r="C64" s="5"/>
      <c r="D64" s="4"/>
    </row>
    <row r="65" spans="3:4" x14ac:dyDescent="0.2">
      <c r="C65" s="5"/>
      <c r="D65" s="4"/>
    </row>
    <row r="66" spans="3:4" x14ac:dyDescent="0.2">
      <c r="C66" s="5"/>
      <c r="D66" s="4"/>
    </row>
    <row r="67" spans="3:4" x14ac:dyDescent="0.2">
      <c r="C67" s="5"/>
      <c r="D67" s="4"/>
    </row>
    <row r="68" spans="3:4" x14ac:dyDescent="0.2">
      <c r="C68" s="5"/>
      <c r="D68" s="4"/>
    </row>
    <row r="69" spans="3:4" x14ac:dyDescent="0.2">
      <c r="C69" s="5"/>
      <c r="D69" s="4"/>
    </row>
    <row r="70" spans="3:4" x14ac:dyDescent="0.2">
      <c r="C70" s="5"/>
      <c r="D70" s="4"/>
    </row>
    <row r="71" spans="3:4" x14ac:dyDescent="0.2">
      <c r="C71" s="5"/>
      <c r="D71" s="4"/>
    </row>
    <row r="72" spans="3:4" x14ac:dyDescent="0.2">
      <c r="C72" s="5"/>
      <c r="D72" s="4"/>
    </row>
    <row r="73" spans="3:4" x14ac:dyDescent="0.2">
      <c r="C73" s="5"/>
      <c r="D73" s="4"/>
    </row>
    <row r="74" spans="3:4" x14ac:dyDescent="0.2">
      <c r="C74" s="5"/>
      <c r="D74" s="4"/>
    </row>
    <row r="75" spans="3:4" x14ac:dyDescent="0.2">
      <c r="C75" s="7"/>
    </row>
    <row r="76" spans="3:4" x14ac:dyDescent="0.2">
      <c r="C76" s="7"/>
    </row>
    <row r="77" spans="3:4" x14ac:dyDescent="0.2">
      <c r="C77" s="7"/>
    </row>
    <row r="78" spans="3:4" x14ac:dyDescent="0.2">
      <c r="C78" s="7"/>
    </row>
    <row r="79" spans="3:4" x14ac:dyDescent="0.2">
      <c r="C79" s="7"/>
    </row>
    <row r="80" spans="3:4" x14ac:dyDescent="0.2">
      <c r="C80" s="7"/>
    </row>
    <row r="81" spans="3:3" x14ac:dyDescent="0.2">
      <c r="C81" s="7"/>
    </row>
    <row r="82" spans="3:3" x14ac:dyDescent="0.2">
      <c r="C82" s="7"/>
    </row>
    <row r="83" spans="3:3" x14ac:dyDescent="0.2">
      <c r="C83" s="7"/>
    </row>
    <row r="84" spans="3:3" x14ac:dyDescent="0.2">
      <c r="C84" s="7"/>
    </row>
    <row r="85" spans="3:3" x14ac:dyDescent="0.2">
      <c r="C85" s="7"/>
    </row>
    <row r="86" spans="3:3" x14ac:dyDescent="0.2">
      <c r="C86" s="7"/>
    </row>
    <row r="87" spans="3:3" x14ac:dyDescent="0.2">
      <c r="C87" s="7"/>
    </row>
    <row r="88" spans="3:3" x14ac:dyDescent="0.2">
      <c r="C88" s="7"/>
    </row>
    <row r="89" spans="3:3" x14ac:dyDescent="0.2">
      <c r="C89" s="7"/>
    </row>
    <row r="90" spans="3:3" x14ac:dyDescent="0.2">
      <c r="C90" s="7"/>
    </row>
    <row r="91" spans="3:3" x14ac:dyDescent="0.2">
      <c r="C91" s="7"/>
    </row>
    <row r="92" spans="3:3" x14ac:dyDescent="0.2">
      <c r="C92" s="7"/>
    </row>
    <row r="93" spans="3:3" x14ac:dyDescent="0.2">
      <c r="C93" s="7"/>
    </row>
    <row r="94" spans="3:3" x14ac:dyDescent="0.2">
      <c r="C94" s="7"/>
    </row>
    <row r="95" spans="3:3" x14ac:dyDescent="0.2">
      <c r="C95" s="7"/>
    </row>
    <row r="96" spans="3:3" x14ac:dyDescent="0.2">
      <c r="C96" s="7"/>
    </row>
    <row r="97" spans="3:3" x14ac:dyDescent="0.2">
      <c r="C97" s="7"/>
    </row>
    <row r="98" spans="3:3" x14ac:dyDescent="0.2">
      <c r="C98" s="7"/>
    </row>
    <row r="99" spans="3:3" x14ac:dyDescent="0.2">
      <c r="C99" s="7"/>
    </row>
    <row r="100" spans="3:3" x14ac:dyDescent="0.2">
      <c r="C100" s="7"/>
    </row>
    <row r="101" spans="3:3" x14ac:dyDescent="0.2">
      <c r="C101" s="7"/>
    </row>
    <row r="102" spans="3:3" x14ac:dyDescent="0.2">
      <c r="C102" s="7"/>
    </row>
    <row r="103" spans="3:3" x14ac:dyDescent="0.2">
      <c r="C103" s="7"/>
    </row>
    <row r="104" spans="3:3" x14ac:dyDescent="0.2">
      <c r="C104" s="7"/>
    </row>
    <row r="105" spans="3:3" x14ac:dyDescent="0.2">
      <c r="C105" s="7"/>
    </row>
    <row r="106" spans="3:3" x14ac:dyDescent="0.2">
      <c r="C106" s="7"/>
    </row>
    <row r="107" spans="3:3" x14ac:dyDescent="0.2">
      <c r="C107" s="7"/>
    </row>
    <row r="108" spans="3:3" x14ac:dyDescent="0.2">
      <c r="C108" s="7"/>
    </row>
    <row r="109" spans="3:3" x14ac:dyDescent="0.2">
      <c r="C109" s="7"/>
    </row>
    <row r="110" spans="3:3" x14ac:dyDescent="0.2">
      <c r="C110" s="7"/>
    </row>
    <row r="111" spans="3:3" x14ac:dyDescent="0.2">
      <c r="C111" s="7"/>
    </row>
    <row r="112" spans="3:3" x14ac:dyDescent="0.2">
      <c r="C112" s="7"/>
    </row>
    <row r="113" spans="3:3" x14ac:dyDescent="0.2">
      <c r="C113" s="7"/>
    </row>
    <row r="114" spans="3:3" x14ac:dyDescent="0.2">
      <c r="C114" s="7"/>
    </row>
    <row r="115" spans="3:3" x14ac:dyDescent="0.2">
      <c r="C115" s="7"/>
    </row>
    <row r="116" spans="3:3" x14ac:dyDescent="0.2">
      <c r="C116" s="7"/>
    </row>
    <row r="117" spans="3:3" x14ac:dyDescent="0.2">
      <c r="C117" s="7"/>
    </row>
    <row r="118" spans="3:3" x14ac:dyDescent="0.2">
      <c r="C118" s="7"/>
    </row>
    <row r="119" spans="3:3" x14ac:dyDescent="0.2">
      <c r="C119" s="7"/>
    </row>
    <row r="120" spans="3:3" x14ac:dyDescent="0.2">
      <c r="C120" s="7"/>
    </row>
    <row r="121" spans="3:3" x14ac:dyDescent="0.2">
      <c r="C121" s="7"/>
    </row>
    <row r="122" spans="3:3" x14ac:dyDescent="0.2">
      <c r="C122" s="7"/>
    </row>
    <row r="123" spans="3:3" x14ac:dyDescent="0.2">
      <c r="C123" s="7"/>
    </row>
    <row r="124" spans="3:3" x14ac:dyDescent="0.2">
      <c r="C124" s="7"/>
    </row>
    <row r="125" spans="3:3" x14ac:dyDescent="0.2">
      <c r="C125" s="7"/>
    </row>
    <row r="126" spans="3:3" x14ac:dyDescent="0.2">
      <c r="C126" s="7"/>
    </row>
    <row r="127" spans="3:3" x14ac:dyDescent="0.2">
      <c r="C127" s="7"/>
    </row>
    <row r="128" spans="3:3" x14ac:dyDescent="0.2">
      <c r="C128" s="7"/>
    </row>
    <row r="129" spans="3:3" x14ac:dyDescent="0.2">
      <c r="C129" s="7"/>
    </row>
    <row r="130" spans="3:3" x14ac:dyDescent="0.2">
      <c r="C130" s="7"/>
    </row>
  </sheetData>
  <phoneticPr fontId="5" type="noConversion"/>
  <printOptions gridLines="1" gridLinesSet="0"/>
  <pageMargins left="0.78740157499999996" right="0.78740157499999996" top="0.984251969" bottom="0.984251969" header="0.49212598499999999" footer="0.49212598499999999"/>
  <pageSetup orientation="portrait" horizontalDpi="120" verticalDpi="144" r:id="rId1"/>
  <headerFooter alignWithMargins="0">
    <oddHeader>&amp;A</oddHead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>
      <selection activeCell="G20" sqref="G20"/>
    </sheetView>
  </sheetViews>
  <sheetFormatPr defaultColWidth="11.42578125" defaultRowHeight="12.75" x14ac:dyDescent="0.2"/>
  <cols>
    <col min="1" max="1" width="22.85546875" style="6" customWidth="1"/>
    <col min="2" max="2" width="6.140625" style="6" customWidth="1"/>
    <col min="3" max="3" width="33.5703125" style="6" bestFit="1" customWidth="1"/>
    <col min="4" max="4" width="7.5703125" style="6" customWidth="1"/>
    <col min="5" max="16384" width="11.42578125" style="6"/>
  </cols>
  <sheetData>
    <row r="1" spans="1:7" x14ac:dyDescent="0.2">
      <c r="A1" s="48" t="s">
        <v>72</v>
      </c>
      <c r="B1" s="48"/>
      <c r="C1" s="48"/>
      <c r="D1" s="48"/>
      <c r="E1" s="48"/>
      <c r="F1" s="16"/>
      <c r="G1" s="16"/>
    </row>
    <row r="2" spans="1:7" ht="16.5" customHeight="1" x14ac:dyDescent="0.2">
      <c r="A2" s="48"/>
      <c r="B2" s="48"/>
      <c r="C2" s="48"/>
      <c r="D2" s="48"/>
      <c r="E2" s="48"/>
      <c r="F2" s="16"/>
      <c r="G2" s="16"/>
    </row>
    <row r="3" spans="1:7" s="4" customFormat="1" x14ac:dyDescent="0.2">
      <c r="A3" s="49" t="s">
        <v>73</v>
      </c>
      <c r="B3" s="49">
        <v>100</v>
      </c>
      <c r="C3" s="49"/>
      <c r="D3" s="49"/>
      <c r="E3" s="49"/>
    </row>
    <row r="4" spans="1:7" s="4" customFormat="1" x14ac:dyDescent="0.2">
      <c r="A4" s="49"/>
      <c r="B4" s="49"/>
      <c r="C4" s="49"/>
      <c r="D4" s="49"/>
      <c r="E4" s="49"/>
    </row>
    <row r="5" spans="1:7" s="4" customFormat="1" x14ac:dyDescent="0.2">
      <c r="A5" s="49" t="s">
        <v>74</v>
      </c>
      <c r="B5" s="49" t="s">
        <v>2</v>
      </c>
      <c r="C5" s="49" t="s">
        <v>75</v>
      </c>
      <c r="D5" s="49" t="s">
        <v>4</v>
      </c>
      <c r="E5" s="49"/>
    </row>
    <row r="6" spans="1:7" s="4" customFormat="1" x14ac:dyDescent="0.2">
      <c r="A6" s="49" t="s">
        <v>76</v>
      </c>
      <c r="B6" s="49">
        <v>18</v>
      </c>
      <c r="C6" s="49" t="s">
        <v>77</v>
      </c>
      <c r="D6" s="49">
        <v>30</v>
      </c>
      <c r="E6" s="49"/>
    </row>
    <row r="7" spans="1:7" s="4" customFormat="1" x14ac:dyDescent="0.2">
      <c r="A7" s="49" t="s">
        <v>78</v>
      </c>
      <c r="B7" s="49">
        <v>18</v>
      </c>
      <c r="C7" s="49" t="s">
        <v>79</v>
      </c>
      <c r="D7" s="49">
        <v>15</v>
      </c>
      <c r="E7" s="49"/>
    </row>
    <row r="8" spans="1:7" s="4" customFormat="1" x14ac:dyDescent="0.2">
      <c r="A8" s="49" t="s">
        <v>15</v>
      </c>
      <c r="B8" s="49">
        <v>0.65</v>
      </c>
      <c r="C8" s="49" t="s">
        <v>80</v>
      </c>
      <c r="D8" s="49">
        <v>30</v>
      </c>
      <c r="E8" s="49"/>
    </row>
    <row r="9" spans="1:7" s="4" customFormat="1" x14ac:dyDescent="0.2">
      <c r="A9" s="49" t="s">
        <v>16</v>
      </c>
      <c r="B9" s="49">
        <v>3</v>
      </c>
      <c r="C9" s="49"/>
      <c r="D9" s="49"/>
      <c r="E9" s="49"/>
    </row>
    <row r="10" spans="1:7" s="4" customFormat="1" x14ac:dyDescent="0.2">
      <c r="A10" s="49" t="s">
        <v>10</v>
      </c>
      <c r="B10" s="49">
        <v>2</v>
      </c>
      <c r="C10" s="49"/>
      <c r="D10" s="49"/>
      <c r="E10" s="49"/>
    </row>
    <row r="11" spans="1:7" s="4" customFormat="1" x14ac:dyDescent="0.2">
      <c r="A11" s="49" t="s">
        <v>62</v>
      </c>
      <c r="B11" s="49">
        <v>1.2</v>
      </c>
      <c r="C11" s="49"/>
      <c r="D11" s="49"/>
      <c r="E11" s="49"/>
    </row>
    <row r="12" spans="1:7" s="4" customFormat="1" x14ac:dyDescent="0.2">
      <c r="A12" s="49" t="s">
        <v>63</v>
      </c>
      <c r="B12" s="49">
        <v>1.08</v>
      </c>
      <c r="C12" s="49"/>
      <c r="D12" s="49"/>
      <c r="E12" s="50"/>
    </row>
    <row r="13" spans="1:7" s="4" customFormat="1" x14ac:dyDescent="0.2">
      <c r="A13" s="49"/>
      <c r="B13" s="49"/>
      <c r="C13" s="49" t="s">
        <v>81</v>
      </c>
      <c r="D13" s="49">
        <v>22.36</v>
      </c>
      <c r="E13" s="49"/>
    </row>
    <row r="14" spans="1:7" s="4" customFormat="1" x14ac:dyDescent="0.2">
      <c r="A14" s="49"/>
      <c r="B14" s="49"/>
      <c r="C14" s="49" t="s">
        <v>82</v>
      </c>
      <c r="D14" s="49">
        <v>1</v>
      </c>
      <c r="E14" s="49"/>
    </row>
    <row r="15" spans="1:7" s="4" customFormat="1" x14ac:dyDescent="0.2">
      <c r="A15" s="49"/>
      <c r="B15" s="49"/>
      <c r="C15" s="49" t="s">
        <v>83</v>
      </c>
      <c r="D15" s="51">
        <f>(D14/100+1)^(1/30)</f>
        <v>1.0003317327062342</v>
      </c>
      <c r="E15" s="49"/>
    </row>
    <row r="16" spans="1:7" s="4" customFormat="1" x14ac:dyDescent="0.2">
      <c r="A16" s="49"/>
      <c r="B16" s="49"/>
      <c r="C16" s="49"/>
      <c r="D16" s="49"/>
      <c r="E16" s="49"/>
    </row>
    <row r="17" spans="1:5" s="4" customFormat="1" x14ac:dyDescent="0.2">
      <c r="A17" s="49"/>
      <c r="B17" s="49"/>
      <c r="C17" s="49" t="s">
        <v>43</v>
      </c>
      <c r="D17" s="52">
        <f>C19</f>
        <v>159.97519532972834</v>
      </c>
      <c r="E17" s="49"/>
    </row>
    <row r="18" spans="1:5" s="4" customFormat="1" x14ac:dyDescent="0.2">
      <c r="A18" s="49"/>
      <c r="B18" s="49"/>
      <c r="C18" s="49"/>
      <c r="D18" s="49"/>
      <c r="E18" s="49"/>
    </row>
    <row r="19" spans="1:5" s="4" customFormat="1" x14ac:dyDescent="0.2">
      <c r="A19" s="49" t="s">
        <v>25</v>
      </c>
      <c r="B19" s="49"/>
      <c r="C19" s="53">
        <f>C23/((1/(D15^D6))-((B6/100/(D15^D12))+(B10/100/(D15^D10))+(B8/100/(D15^D8))+(B9/100/(D15^D9))+(B11/100/(D15^D11))+(B12/100/(D15^D11))+(D13/100/(D15^D6))))</f>
        <v>159.97519532972834</v>
      </c>
      <c r="D19" s="49"/>
      <c r="E19" s="49"/>
    </row>
    <row r="20" spans="1:5" s="4" customFormat="1" x14ac:dyDescent="0.2">
      <c r="A20" s="49" t="s">
        <v>26</v>
      </c>
      <c r="B20" s="49"/>
      <c r="C20" s="54">
        <f>C19/(D15^D6)</f>
        <v>158.39128250468136</v>
      </c>
      <c r="D20" s="49"/>
      <c r="E20" s="49"/>
    </row>
    <row r="21" spans="1:5" s="4" customFormat="1" x14ac:dyDescent="0.2">
      <c r="A21" s="49" t="s">
        <v>73</v>
      </c>
      <c r="B21" s="49"/>
      <c r="C21" s="54">
        <f>B3/(D15^D7)</f>
        <v>99.503719020998858</v>
      </c>
      <c r="D21" s="49"/>
      <c r="E21" s="49"/>
    </row>
    <row r="22" spans="1:5" s="4" customFormat="1" x14ac:dyDescent="0.2">
      <c r="A22" s="49" t="s">
        <v>78</v>
      </c>
      <c r="B22" s="49"/>
      <c r="C22" s="54">
        <f>(B3*(B7/100)/(D15^D12))</f>
        <v>18</v>
      </c>
      <c r="D22" s="49"/>
      <c r="E22" s="49"/>
    </row>
    <row r="23" spans="1:5" s="4" customFormat="1" x14ac:dyDescent="0.2">
      <c r="A23" s="49" t="s">
        <v>36</v>
      </c>
      <c r="B23" s="49"/>
      <c r="C23" s="54">
        <f>C21-C22</f>
        <v>81.503719020998858</v>
      </c>
      <c r="D23" s="49"/>
      <c r="E23" s="49"/>
    </row>
    <row r="24" spans="1:5" s="4" customFormat="1" x14ac:dyDescent="0.2">
      <c r="A24" s="49"/>
      <c r="B24" s="49"/>
      <c r="C24" s="55"/>
      <c r="D24" s="49"/>
      <c r="E24" s="49"/>
    </row>
    <row r="25" spans="1:5" s="4" customFormat="1" x14ac:dyDescent="0.2">
      <c r="A25" s="49" t="s">
        <v>26</v>
      </c>
      <c r="B25" s="49"/>
      <c r="C25" s="54">
        <f>C20</f>
        <v>158.39128250468136</v>
      </c>
      <c r="D25" s="49"/>
      <c r="E25" s="49"/>
    </row>
    <row r="26" spans="1:5" s="4" customFormat="1" x14ac:dyDescent="0.2">
      <c r="A26" s="49" t="s">
        <v>73</v>
      </c>
      <c r="B26" s="49"/>
      <c r="C26" s="54">
        <f>-C21</f>
        <v>-99.503719020998858</v>
      </c>
      <c r="D26" s="49"/>
      <c r="E26" s="49"/>
    </row>
    <row r="27" spans="1:5" s="4" customFormat="1" x14ac:dyDescent="0.2">
      <c r="A27" s="49" t="s">
        <v>84</v>
      </c>
      <c r="B27" s="49"/>
      <c r="C27" s="54">
        <f>-((C19*B6/100))/(D15^D12)</f>
        <v>-28.795535159351104</v>
      </c>
      <c r="D27" s="49"/>
      <c r="E27" s="49"/>
    </row>
    <row r="28" spans="1:5" s="4" customFormat="1" x14ac:dyDescent="0.2">
      <c r="A28" s="49" t="s">
        <v>78</v>
      </c>
      <c r="B28" s="49"/>
      <c r="C28" s="54">
        <f>C22</f>
        <v>18</v>
      </c>
      <c r="D28" s="49"/>
      <c r="E28" s="49"/>
    </row>
    <row r="29" spans="1:5" s="4" customFormat="1" x14ac:dyDescent="0.2">
      <c r="A29" s="49" t="s">
        <v>10</v>
      </c>
      <c r="B29" s="49"/>
      <c r="C29" s="54">
        <f>-((C19*B10/100))/(D15^D10)</f>
        <v>-3.1995039065945665</v>
      </c>
      <c r="D29" s="49"/>
      <c r="E29" s="49"/>
    </row>
    <row r="30" spans="1:5" s="4" customFormat="1" x14ac:dyDescent="0.2">
      <c r="A30" s="49" t="s">
        <v>15</v>
      </c>
      <c r="B30" s="49"/>
      <c r="C30" s="54">
        <f>-(C19*B8/100)/(D15^D8)</f>
        <v>-1.0295433362804289</v>
      </c>
      <c r="D30" s="49"/>
      <c r="E30" s="49"/>
    </row>
    <row r="31" spans="1:5" s="4" customFormat="1" x14ac:dyDescent="0.2">
      <c r="A31" s="49" t="s">
        <v>16</v>
      </c>
      <c r="B31" s="49"/>
      <c r="C31" s="54">
        <f>-(C19*B9/100)/(D15^D9)</f>
        <v>-4.7992558598918507</v>
      </c>
      <c r="D31" s="49"/>
      <c r="E31" s="49"/>
    </row>
    <row r="32" spans="1:5" s="4" customFormat="1" x14ac:dyDescent="0.2">
      <c r="A32" s="49" t="s">
        <v>62</v>
      </c>
      <c r="B32" s="49"/>
      <c r="C32" s="54">
        <f>-(C19*B11/100)/(D15^D11)</f>
        <v>-1.91970234395674</v>
      </c>
      <c r="D32" s="49"/>
      <c r="E32" s="49"/>
    </row>
    <row r="33" spans="1:5" s="4" customFormat="1" x14ac:dyDescent="0.2">
      <c r="A33" s="49" t="s">
        <v>63</v>
      </c>
      <c r="B33" s="49"/>
      <c r="C33" s="54">
        <f>-(C19*B12/100)/(D15^D11)</f>
        <v>-1.7277321095610663</v>
      </c>
      <c r="D33" s="49"/>
      <c r="E33" s="49"/>
    </row>
    <row r="34" spans="1:5" s="4" customFormat="1" x14ac:dyDescent="0.2">
      <c r="A34" s="49" t="s">
        <v>85</v>
      </c>
      <c r="B34" s="49"/>
      <c r="C34" s="54">
        <f>SUM(C25:C33)</f>
        <v>35.416290768046743</v>
      </c>
      <c r="D34" s="49"/>
      <c r="E34" s="49"/>
    </row>
    <row r="35" spans="1:5" s="4" customFormat="1" x14ac:dyDescent="0.2">
      <c r="A35" s="49" t="s">
        <v>86</v>
      </c>
      <c r="B35" s="49"/>
      <c r="C35" s="54">
        <f>(C34/C25)*100</f>
        <v>22.359999999999992</v>
      </c>
      <c r="D35" s="49"/>
      <c r="E35" s="49"/>
    </row>
    <row r="36" spans="1:5" s="4" customFormat="1" x14ac:dyDescent="0.2">
      <c r="A36" s="49"/>
      <c r="B36" s="49"/>
      <c r="C36" s="55"/>
      <c r="D36" s="49"/>
      <c r="E36" s="49"/>
    </row>
    <row r="37" spans="1:5" s="4" customFormat="1" x14ac:dyDescent="0.2">
      <c r="A37" s="49"/>
      <c r="B37" s="49"/>
      <c r="C37" s="55"/>
      <c r="D37" s="49"/>
      <c r="E37" s="49"/>
    </row>
    <row r="38" spans="1:5" s="4" customFormat="1" x14ac:dyDescent="0.2">
      <c r="A38" s="49" t="s">
        <v>87</v>
      </c>
      <c r="B38" s="49"/>
      <c r="C38" s="55"/>
      <c r="D38" s="49"/>
      <c r="E38" s="49"/>
    </row>
    <row r="39" spans="1:5" s="4" customFormat="1" x14ac:dyDescent="0.2">
      <c r="A39" s="49" t="s">
        <v>67</v>
      </c>
      <c r="B39" s="49"/>
      <c r="C39" s="56">
        <f>-(C19*D6)/30</f>
        <v>-159.97519532972834</v>
      </c>
      <c r="D39" s="49"/>
      <c r="E39" s="49"/>
    </row>
    <row r="40" spans="1:5" s="4" customFormat="1" x14ac:dyDescent="0.2">
      <c r="A40" s="49" t="s">
        <v>68</v>
      </c>
      <c r="B40" s="49"/>
      <c r="C40" s="56">
        <f>-(B3*D8)/30</f>
        <v>-100</v>
      </c>
      <c r="D40" s="49"/>
      <c r="E40" s="49"/>
    </row>
    <row r="41" spans="1:5" s="4" customFormat="1" x14ac:dyDescent="0.2">
      <c r="A41" s="49" t="s">
        <v>69</v>
      </c>
      <c r="B41" s="49"/>
      <c r="C41" s="56">
        <f>(B3*D7)/30</f>
        <v>50</v>
      </c>
      <c r="D41" s="49"/>
      <c r="E41" s="49"/>
    </row>
    <row r="42" spans="1:5" s="4" customFormat="1" x14ac:dyDescent="0.2">
      <c r="A42" s="49" t="s">
        <v>70</v>
      </c>
      <c r="B42" s="49"/>
      <c r="C42" s="56">
        <f>SUM(C39:C41)</f>
        <v>-209.97519532972831</v>
      </c>
      <c r="D42" s="49"/>
      <c r="E42" s="49"/>
    </row>
    <row r="43" spans="1:5" s="4" customFormat="1" x14ac:dyDescent="0.2">
      <c r="A43" s="49"/>
      <c r="B43" s="49"/>
      <c r="C43" s="55"/>
      <c r="D43" s="49"/>
      <c r="E43" s="49"/>
    </row>
    <row r="44" spans="1:5" s="4" customFormat="1" x14ac:dyDescent="0.2">
      <c r="A44" s="49" t="s">
        <v>88</v>
      </c>
      <c r="B44" s="49"/>
      <c r="C44" s="54">
        <f>-(C34/C42)*100</f>
        <v>16.866892640548244</v>
      </c>
      <c r="D44" s="49"/>
      <c r="E44" s="49"/>
    </row>
    <row r="45" spans="1:5" s="4" customFormat="1" x14ac:dyDescent="0.2">
      <c r="C45" s="5"/>
    </row>
    <row r="46" spans="1:5" s="4" customFormat="1" x14ac:dyDescent="0.2">
      <c r="A46" s="12"/>
      <c r="C46" s="5"/>
    </row>
    <row r="47" spans="1:5" s="4" customFormat="1" x14ac:dyDescent="0.2">
      <c r="C47" s="5"/>
    </row>
    <row r="48" spans="1:5" s="4" customFormat="1" x14ac:dyDescent="0.2">
      <c r="C48" s="5"/>
    </row>
    <row r="49" spans="3:3" s="4" customFormat="1" x14ac:dyDescent="0.2">
      <c r="C49" s="5"/>
    </row>
    <row r="50" spans="3:3" s="4" customFormat="1" x14ac:dyDescent="0.2">
      <c r="C50" s="5"/>
    </row>
    <row r="51" spans="3:3" s="4" customFormat="1" x14ac:dyDescent="0.2">
      <c r="C51" s="5"/>
    </row>
    <row r="52" spans="3:3" s="4" customFormat="1" x14ac:dyDescent="0.2">
      <c r="C52" s="5"/>
    </row>
    <row r="53" spans="3:3" s="4" customFormat="1" x14ac:dyDescent="0.2">
      <c r="C53" s="5"/>
    </row>
    <row r="54" spans="3:3" s="4" customFormat="1" x14ac:dyDescent="0.2">
      <c r="C54" s="5"/>
    </row>
    <row r="55" spans="3:3" s="4" customFormat="1" x14ac:dyDescent="0.2">
      <c r="C55" s="5"/>
    </row>
    <row r="56" spans="3:3" s="4" customFormat="1" x14ac:dyDescent="0.2">
      <c r="C56" s="5"/>
    </row>
    <row r="57" spans="3:3" s="4" customFormat="1" x14ac:dyDescent="0.2">
      <c r="C57" s="5"/>
    </row>
    <row r="58" spans="3:3" s="4" customFormat="1" x14ac:dyDescent="0.2">
      <c r="C58" s="5"/>
    </row>
    <row r="59" spans="3:3" s="4" customFormat="1" x14ac:dyDescent="0.2">
      <c r="C59" s="5"/>
    </row>
    <row r="60" spans="3:3" s="4" customFormat="1" x14ac:dyDescent="0.2">
      <c r="C60" s="5"/>
    </row>
    <row r="61" spans="3:3" s="4" customFormat="1" x14ac:dyDescent="0.2">
      <c r="C61" s="5"/>
    </row>
    <row r="62" spans="3:3" s="4" customFormat="1" x14ac:dyDescent="0.2">
      <c r="C62" s="5"/>
    </row>
    <row r="63" spans="3:3" s="4" customFormat="1" x14ac:dyDescent="0.2">
      <c r="C63" s="5"/>
    </row>
    <row r="64" spans="3:3" s="4" customFormat="1" x14ac:dyDescent="0.2">
      <c r="C64" s="5"/>
    </row>
    <row r="65" spans="3:3" s="4" customFormat="1" x14ac:dyDescent="0.2">
      <c r="C65" s="5"/>
    </row>
    <row r="66" spans="3:3" s="4" customFormat="1" x14ac:dyDescent="0.2">
      <c r="C66" s="5"/>
    </row>
    <row r="67" spans="3:3" s="4" customFormat="1" x14ac:dyDescent="0.2">
      <c r="C67" s="5"/>
    </row>
    <row r="68" spans="3:3" s="4" customFormat="1" x14ac:dyDescent="0.2">
      <c r="C68" s="5"/>
    </row>
    <row r="69" spans="3:3" s="4" customFormat="1" x14ac:dyDescent="0.2">
      <c r="C69" s="5"/>
    </row>
    <row r="70" spans="3:3" s="4" customFormat="1" x14ac:dyDescent="0.2">
      <c r="C70" s="5"/>
    </row>
    <row r="71" spans="3:3" s="4" customFormat="1" x14ac:dyDescent="0.2">
      <c r="C71" s="5"/>
    </row>
    <row r="72" spans="3:3" s="4" customFormat="1" x14ac:dyDescent="0.2">
      <c r="C72" s="5"/>
    </row>
    <row r="73" spans="3:3" s="4" customFormat="1" x14ac:dyDescent="0.2">
      <c r="C73" s="5"/>
    </row>
    <row r="74" spans="3:3" s="4" customFormat="1" x14ac:dyDescent="0.2">
      <c r="C74" s="5"/>
    </row>
    <row r="75" spans="3:3" s="4" customFormat="1" x14ac:dyDescent="0.2">
      <c r="C75" s="5"/>
    </row>
    <row r="76" spans="3:3" s="4" customFormat="1" x14ac:dyDescent="0.2">
      <c r="C76" s="5"/>
    </row>
    <row r="77" spans="3:3" s="4" customFormat="1" x14ac:dyDescent="0.2">
      <c r="C77" s="5"/>
    </row>
    <row r="78" spans="3:3" s="4" customFormat="1" x14ac:dyDescent="0.2">
      <c r="C78" s="5"/>
    </row>
    <row r="79" spans="3:3" s="4" customFormat="1" x14ac:dyDescent="0.2">
      <c r="C79" s="5"/>
    </row>
    <row r="80" spans="3:3" s="4" customFormat="1" x14ac:dyDescent="0.2">
      <c r="C80" s="5"/>
    </row>
    <row r="81" spans="3:3" s="4" customFormat="1" x14ac:dyDescent="0.2">
      <c r="C81" s="5"/>
    </row>
    <row r="82" spans="3:3" s="4" customFormat="1" x14ac:dyDescent="0.2">
      <c r="C82" s="5"/>
    </row>
    <row r="83" spans="3:3" x14ac:dyDescent="0.2">
      <c r="C83" s="7"/>
    </row>
    <row r="84" spans="3:3" x14ac:dyDescent="0.2">
      <c r="C84" s="7"/>
    </row>
  </sheetData>
  <phoneticPr fontId="5" type="noConversion"/>
  <printOptions gridLines="1" gridLinesSet="0"/>
  <pageMargins left="0.78740157499999996" right="0.78740157499999996" top="0.984251969" bottom="0.984251969" header="0.49212598499999999" footer="0.49212598499999999"/>
  <pageSetup paperSize="270" orientation="portrait" horizontalDpi="300" verticalDpi="300" r:id="rId1"/>
  <headerFooter alignWithMargins="0">
    <oddHeader>&amp;A</oddHeader>
    <oddFooter>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02"/>
  <sheetViews>
    <sheetView tabSelected="1" topLeftCell="A30" workbookViewId="0">
      <selection activeCell="B14" sqref="B14"/>
    </sheetView>
  </sheetViews>
  <sheetFormatPr defaultColWidth="11.42578125" defaultRowHeight="12.75" x14ac:dyDescent="0.2"/>
  <cols>
    <col min="1" max="1" width="34" style="4" customWidth="1"/>
    <col min="2" max="2" width="10.140625" style="6" customWidth="1"/>
    <col min="3" max="3" width="48.5703125" style="4" customWidth="1"/>
    <col min="4" max="4" width="8.140625" style="6" bestFit="1" customWidth="1"/>
    <col min="5" max="16384" width="11.42578125" style="6"/>
  </cols>
  <sheetData>
    <row r="1" spans="1:4" x14ac:dyDescent="0.2">
      <c r="A1" s="17" t="s">
        <v>40</v>
      </c>
    </row>
    <row r="2" spans="1:4" s="18" customFormat="1" x14ac:dyDescent="0.2">
      <c r="A2" s="17" t="s">
        <v>0</v>
      </c>
    </row>
    <row r="4" spans="1:4" x14ac:dyDescent="0.2">
      <c r="A4" s="10" t="s">
        <v>1</v>
      </c>
      <c r="B4" s="10" t="s">
        <v>2</v>
      </c>
      <c r="C4" s="10" t="s">
        <v>3</v>
      </c>
      <c r="D4" s="10" t="s">
        <v>4</v>
      </c>
    </row>
    <row r="5" spans="1:4" x14ac:dyDescent="0.2">
      <c r="A5" s="4" t="s">
        <v>5</v>
      </c>
      <c r="B5" s="62">
        <v>0.2</v>
      </c>
      <c r="C5" s="4" t="s">
        <v>6</v>
      </c>
      <c r="D5" s="4">
        <v>30</v>
      </c>
    </row>
    <row r="6" spans="1:4" x14ac:dyDescent="0.2">
      <c r="A6" s="4" t="s">
        <v>7</v>
      </c>
      <c r="B6" s="62">
        <v>0.15</v>
      </c>
      <c r="D6" s="4"/>
    </row>
    <row r="7" spans="1:4" x14ac:dyDescent="0.2">
      <c r="A7" s="4" t="s">
        <v>8</v>
      </c>
      <c r="B7" s="62">
        <v>0.18</v>
      </c>
      <c r="C7" s="4" t="s">
        <v>17</v>
      </c>
      <c r="D7" s="4">
        <v>1</v>
      </c>
    </row>
    <row r="8" spans="1:4" x14ac:dyDescent="0.2">
      <c r="A8" s="47" t="s">
        <v>232</v>
      </c>
      <c r="B8" s="62">
        <v>7.5999999999999998E-2</v>
      </c>
      <c r="C8" s="4" t="s">
        <v>19</v>
      </c>
      <c r="D8" s="19">
        <f>(D7/100+1)^(1/30)</f>
        <v>1.0003317327062342</v>
      </c>
    </row>
    <row r="9" spans="1:4" x14ac:dyDescent="0.2">
      <c r="A9" s="47" t="s">
        <v>231</v>
      </c>
      <c r="B9" s="62">
        <v>1.6500000000000001E-2</v>
      </c>
      <c r="D9" s="4"/>
    </row>
    <row r="10" spans="1:4" x14ac:dyDescent="0.2">
      <c r="A10" s="4" t="s">
        <v>9</v>
      </c>
      <c r="B10" s="62">
        <v>0.03</v>
      </c>
      <c r="C10" s="4" t="s">
        <v>21</v>
      </c>
      <c r="D10" s="59">
        <v>0.3</v>
      </c>
    </row>
    <row r="11" spans="1:4" x14ac:dyDescent="0.2">
      <c r="A11" s="4" t="s">
        <v>12</v>
      </c>
      <c r="B11" s="62">
        <v>0.18</v>
      </c>
      <c r="C11" s="6"/>
    </row>
    <row r="12" spans="1:4" x14ac:dyDescent="0.2">
      <c r="A12" s="4" t="s">
        <v>13</v>
      </c>
      <c r="B12" s="62">
        <v>0</v>
      </c>
      <c r="D12" s="57"/>
    </row>
    <row r="13" spans="1:4" x14ac:dyDescent="0.2">
      <c r="A13" s="4" t="s">
        <v>14</v>
      </c>
      <c r="B13" s="63">
        <f>IF(B12&gt;0,B11*(1+B12),B11)</f>
        <v>0.18</v>
      </c>
    </row>
    <row r="14" spans="1:4" x14ac:dyDescent="0.2">
      <c r="A14" s="4" t="s">
        <v>15</v>
      </c>
      <c r="B14" s="62">
        <v>6.4999999999999997E-3</v>
      </c>
      <c r="C14" s="65"/>
    </row>
    <row r="15" spans="1:4" x14ac:dyDescent="0.2">
      <c r="A15" s="4" t="s">
        <v>16</v>
      </c>
      <c r="B15" s="62">
        <v>0.03</v>
      </c>
      <c r="D15" s="4"/>
    </row>
    <row r="16" spans="1:4" x14ac:dyDescent="0.2">
      <c r="A16" s="4" t="s">
        <v>18</v>
      </c>
      <c r="B16" s="62">
        <v>0</v>
      </c>
    </row>
    <row r="17" spans="1:7" x14ac:dyDescent="0.2">
      <c r="A17" s="47" t="s">
        <v>62</v>
      </c>
      <c r="B17" s="62">
        <v>0.02</v>
      </c>
    </row>
    <row r="18" spans="1:7" x14ac:dyDescent="0.2">
      <c r="A18" s="47" t="s">
        <v>235</v>
      </c>
      <c r="B18" s="62">
        <v>1.0800000000000001E-2</v>
      </c>
    </row>
    <row r="19" spans="1:7" x14ac:dyDescent="0.2">
      <c r="B19" s="58"/>
    </row>
    <row r="20" spans="1:7" x14ac:dyDescent="0.2">
      <c r="A20" s="4" t="s">
        <v>20</v>
      </c>
      <c r="B20" s="61">
        <v>200</v>
      </c>
    </row>
    <row r="21" spans="1:7" x14ac:dyDescent="0.2">
      <c r="A21" s="4" t="s">
        <v>11</v>
      </c>
      <c r="B21" s="62">
        <v>0.01</v>
      </c>
    </row>
    <row r="22" spans="1:7" x14ac:dyDescent="0.2">
      <c r="A22" s="47" t="s">
        <v>233</v>
      </c>
      <c r="B22" s="62">
        <v>0.02</v>
      </c>
    </row>
    <row r="23" spans="1:7" x14ac:dyDescent="0.2">
      <c r="A23" s="4" t="s">
        <v>22</v>
      </c>
      <c r="B23" s="60">
        <v>2</v>
      </c>
    </row>
    <row r="26" spans="1:7" x14ac:dyDescent="0.2">
      <c r="A26" s="17" t="s">
        <v>23</v>
      </c>
      <c r="C26" s="10" t="s">
        <v>24</v>
      </c>
    </row>
    <row r="28" spans="1:7" x14ac:dyDescent="0.2">
      <c r="A28" s="4" t="s">
        <v>134</v>
      </c>
      <c r="B28" s="22">
        <f>D29</f>
        <v>1210.4467302049861</v>
      </c>
      <c r="C28" s="4" t="s">
        <v>25</v>
      </c>
      <c r="D28" s="22">
        <f>-D43/((1/(D8^D5))-((B13+B14+B15+B16+B17+B18+(D10/(D8^D5)))))</f>
        <v>1222.5511975070374</v>
      </c>
      <c r="G28" s="16"/>
    </row>
    <row r="29" spans="1:7" x14ac:dyDescent="0.2">
      <c r="A29" s="4" t="s">
        <v>28</v>
      </c>
      <c r="B29" s="64">
        <f>-B20*B23</f>
        <v>-400</v>
      </c>
      <c r="C29" s="4" t="s">
        <v>26</v>
      </c>
      <c r="D29" s="22">
        <f>D28/(D8^D5)</f>
        <v>1210.4467302049861</v>
      </c>
      <c r="G29" s="16"/>
    </row>
    <row r="30" spans="1:7" x14ac:dyDescent="0.2">
      <c r="A30" s="47" t="s">
        <v>234</v>
      </c>
      <c r="B30" s="64">
        <f>-B20*B22*B23</f>
        <v>-8</v>
      </c>
      <c r="C30" s="4" t="s">
        <v>28</v>
      </c>
      <c r="D30" s="22">
        <f>B29</f>
        <v>-400</v>
      </c>
      <c r="G30" s="16"/>
    </row>
    <row r="31" spans="1:7" x14ac:dyDescent="0.2">
      <c r="A31" s="4" t="s">
        <v>11</v>
      </c>
      <c r="B31" s="64">
        <f>(B29+B30)*B21</f>
        <v>-4.08</v>
      </c>
      <c r="C31" s="47" t="s">
        <v>234</v>
      </c>
      <c r="D31" s="22">
        <f>B30</f>
        <v>-8</v>
      </c>
      <c r="G31" s="16"/>
    </row>
    <row r="32" spans="1:7" x14ac:dyDescent="0.2">
      <c r="A32" s="4" t="s">
        <v>29</v>
      </c>
      <c r="B32" s="64">
        <f>SUM(B29:B31)</f>
        <v>-412.08</v>
      </c>
      <c r="C32" s="4" t="s">
        <v>11</v>
      </c>
      <c r="D32" s="22">
        <f>B31</f>
        <v>-4.08</v>
      </c>
      <c r="G32" s="16"/>
    </row>
    <row r="33" spans="1:7" x14ac:dyDescent="0.2">
      <c r="A33" s="4" t="s">
        <v>5</v>
      </c>
      <c r="B33" s="64">
        <f>B32*(B5)</f>
        <v>-82.415999999999997</v>
      </c>
      <c r="C33" s="4" t="s">
        <v>29</v>
      </c>
      <c r="D33" s="22">
        <f>SUM(D30:D32)</f>
        <v>-412.08</v>
      </c>
      <c r="G33" s="16"/>
    </row>
    <row r="34" spans="1:7" x14ac:dyDescent="0.2">
      <c r="A34" s="4" t="s">
        <v>7</v>
      </c>
      <c r="B34" s="64">
        <f>(B32+B33)*(B6)</f>
        <v>-74.174399999999991</v>
      </c>
      <c r="C34" s="4" t="s">
        <v>5</v>
      </c>
      <c r="D34" s="22">
        <f>B33</f>
        <v>-82.415999999999997</v>
      </c>
      <c r="G34" s="16"/>
    </row>
    <row r="35" spans="1:7" x14ac:dyDescent="0.2">
      <c r="A35" s="4" t="s">
        <v>30</v>
      </c>
      <c r="B35" s="64">
        <f>-B34</f>
        <v>74.174399999999991</v>
      </c>
      <c r="C35" s="4" t="s">
        <v>7</v>
      </c>
      <c r="D35" s="22">
        <f>B34</f>
        <v>-74.174399999999991</v>
      </c>
      <c r="G35" s="16"/>
    </row>
    <row r="36" spans="1:7" x14ac:dyDescent="0.2">
      <c r="A36" s="47" t="s">
        <v>232</v>
      </c>
      <c r="B36" s="64">
        <f>B8*B32</f>
        <v>-31.318079999999998</v>
      </c>
      <c r="C36" s="47" t="s">
        <v>232</v>
      </c>
      <c r="D36" s="22">
        <f>B36</f>
        <v>-31.318079999999998</v>
      </c>
      <c r="G36" s="16"/>
    </row>
    <row r="37" spans="1:7" x14ac:dyDescent="0.2">
      <c r="A37" s="47" t="s">
        <v>231</v>
      </c>
      <c r="B37" s="64">
        <f>B9*B32</f>
        <v>-6.7993199999999998</v>
      </c>
      <c r="C37" s="47" t="s">
        <v>231</v>
      </c>
      <c r="D37" s="22">
        <f>B37</f>
        <v>-6.7993199999999998</v>
      </c>
      <c r="G37" s="16"/>
    </row>
    <row r="38" spans="1:7" x14ac:dyDescent="0.2">
      <c r="A38" s="4" t="s">
        <v>31</v>
      </c>
      <c r="B38" s="64">
        <f>((B32+B33+B34+B36+B37))/(1-B7)*B7</f>
        <v>-133.19732195121949</v>
      </c>
      <c r="C38" s="4" t="s">
        <v>30</v>
      </c>
      <c r="D38" s="22">
        <f>B35</f>
        <v>74.174399999999991</v>
      </c>
      <c r="G38" s="16"/>
    </row>
    <row r="39" spans="1:7" x14ac:dyDescent="0.2">
      <c r="A39" s="4" t="s">
        <v>33</v>
      </c>
      <c r="B39" s="64">
        <f>-B38/(D8^D6)</f>
        <v>133.19732195121949</v>
      </c>
      <c r="C39" s="4" t="s">
        <v>31</v>
      </c>
      <c r="D39" s="22">
        <f>B38</f>
        <v>-133.19732195121949</v>
      </c>
      <c r="G39" s="16"/>
    </row>
    <row r="40" spans="1:7" x14ac:dyDescent="0.2">
      <c r="A40" s="4" t="s">
        <v>34</v>
      </c>
      <c r="B40" s="64">
        <f>B32*(B10)</f>
        <v>-12.362399999999999</v>
      </c>
      <c r="C40" s="4" t="s">
        <v>32</v>
      </c>
      <c r="D40" s="22">
        <f>-D39/($D$8^D6)</f>
        <v>133.19732195121949</v>
      </c>
      <c r="G40" s="16"/>
    </row>
    <row r="41" spans="1:7" x14ac:dyDescent="0.2">
      <c r="A41" s="4" t="s">
        <v>35</v>
      </c>
      <c r="B41" s="22">
        <f>-D28*B13</f>
        <v>-220.05921555126673</v>
      </c>
      <c r="C41" s="4" t="s">
        <v>34</v>
      </c>
      <c r="D41" s="22">
        <f>B40</f>
        <v>-12.362399999999999</v>
      </c>
      <c r="G41" s="16"/>
    </row>
    <row r="42" spans="1:7" x14ac:dyDescent="0.2">
      <c r="A42" s="4" t="s">
        <v>37</v>
      </c>
      <c r="B42" s="22">
        <f>-(D28*B14)</f>
        <v>-7.9465827837957423</v>
      </c>
      <c r="D42" s="23"/>
      <c r="G42" s="16"/>
    </row>
    <row r="43" spans="1:7" x14ac:dyDescent="0.2">
      <c r="A43" s="4" t="s">
        <v>16</v>
      </c>
      <c r="B43" s="22">
        <f>-(D28*B15)</f>
        <v>-36.67653592521112</v>
      </c>
      <c r="C43" s="4" t="s">
        <v>133</v>
      </c>
      <c r="D43" s="22">
        <f>SUM(D33:D41)</f>
        <v>-544.97579999999994</v>
      </c>
      <c r="G43" s="16"/>
    </row>
    <row r="44" spans="1:7" x14ac:dyDescent="0.2">
      <c r="A44" s="4" t="s">
        <v>10</v>
      </c>
      <c r="B44" s="22">
        <f>-D28*B16</f>
        <v>0</v>
      </c>
      <c r="G44" s="16"/>
    </row>
    <row r="45" spans="1:7" x14ac:dyDescent="0.2">
      <c r="A45" s="47" t="s">
        <v>62</v>
      </c>
      <c r="B45" s="22">
        <f>-D28*B17</f>
        <v>-24.451023950140748</v>
      </c>
      <c r="G45" s="16"/>
    </row>
    <row r="46" spans="1:7" x14ac:dyDescent="0.2">
      <c r="A46" s="47" t="s">
        <v>235</v>
      </c>
      <c r="B46" s="22">
        <f>-D28*B18</f>
        <v>-13.203552933076004</v>
      </c>
      <c r="G46" s="16"/>
    </row>
    <row r="47" spans="1:7" x14ac:dyDescent="0.2">
      <c r="A47" s="4" t="s">
        <v>38</v>
      </c>
      <c r="B47" s="22">
        <f>B28+B32+B33+B36+B37+B40+B41+B42+B43+B44+B45+B46</f>
        <v>363.13401906149596</v>
      </c>
      <c r="G47" s="16"/>
    </row>
    <row r="48" spans="1:7" x14ac:dyDescent="0.2">
      <c r="A48" s="4" t="s">
        <v>39</v>
      </c>
      <c r="B48" s="24">
        <f>(B47/B28)*100</f>
        <v>30.000000000000011</v>
      </c>
      <c r="G48" s="16"/>
    </row>
    <row r="49" spans="1:7" x14ac:dyDescent="0.2">
      <c r="A49" s="6"/>
      <c r="E49" s="5"/>
      <c r="F49" s="4"/>
      <c r="G49" s="16"/>
    </row>
    <row r="50" spans="1:7" x14ac:dyDescent="0.2">
      <c r="B50" s="5"/>
      <c r="E50" s="5"/>
      <c r="F50" s="4"/>
      <c r="G50" s="16"/>
    </row>
    <row r="51" spans="1:7" x14ac:dyDescent="0.2">
      <c r="A51" s="10"/>
      <c r="E51" s="5"/>
      <c r="F51" s="4"/>
      <c r="G51" s="16"/>
    </row>
    <row r="52" spans="1:7" x14ac:dyDescent="0.2">
      <c r="E52" s="5"/>
      <c r="F52" s="4"/>
      <c r="G52" s="16"/>
    </row>
    <row r="53" spans="1:7" x14ac:dyDescent="0.2">
      <c r="B53" s="4"/>
      <c r="E53" s="5"/>
      <c r="F53" s="4"/>
      <c r="G53" s="16"/>
    </row>
    <row r="54" spans="1:7" x14ac:dyDescent="0.2">
      <c r="E54" s="5"/>
      <c r="F54" s="4"/>
      <c r="G54" s="16"/>
    </row>
    <row r="55" spans="1:7" x14ac:dyDescent="0.2">
      <c r="E55" s="5"/>
      <c r="F55" s="4"/>
      <c r="G55" s="16"/>
    </row>
    <row r="56" spans="1:7" x14ac:dyDescent="0.2">
      <c r="E56" s="5"/>
      <c r="F56" s="4"/>
      <c r="G56" s="16"/>
    </row>
    <row r="57" spans="1:7" x14ac:dyDescent="0.2">
      <c r="E57" s="5"/>
      <c r="F57" s="4"/>
      <c r="G57" s="16"/>
    </row>
    <row r="58" spans="1:7" x14ac:dyDescent="0.2">
      <c r="E58" s="5"/>
      <c r="F58" s="4"/>
      <c r="G58" s="16"/>
    </row>
    <row r="59" spans="1:7" x14ac:dyDescent="0.2">
      <c r="E59" s="4"/>
      <c r="F59" s="4"/>
      <c r="G59" s="16"/>
    </row>
    <row r="60" spans="1:7" x14ac:dyDescent="0.2">
      <c r="E60" s="4"/>
      <c r="F60" s="4"/>
      <c r="G60" s="16"/>
    </row>
    <row r="61" spans="1:7" x14ac:dyDescent="0.2">
      <c r="E61" s="4"/>
      <c r="F61" s="4"/>
      <c r="G61" s="16"/>
    </row>
    <row r="62" spans="1:7" x14ac:dyDescent="0.2">
      <c r="E62" s="4"/>
      <c r="F62" s="4"/>
      <c r="G62" s="16"/>
    </row>
    <row r="63" spans="1:7" x14ac:dyDescent="0.2">
      <c r="E63" s="4"/>
      <c r="F63" s="4"/>
      <c r="G63" s="16"/>
    </row>
    <row r="64" spans="1:7" x14ac:dyDescent="0.2">
      <c r="E64" s="4"/>
      <c r="F64" s="4"/>
      <c r="G64" s="16"/>
    </row>
    <row r="65" spans="5:7" x14ac:dyDescent="0.2">
      <c r="E65" s="4"/>
      <c r="F65" s="4"/>
      <c r="G65" s="16"/>
    </row>
    <row r="66" spans="5:7" x14ac:dyDescent="0.2">
      <c r="E66" s="4"/>
      <c r="F66" s="4"/>
      <c r="G66" s="16"/>
    </row>
    <row r="67" spans="5:7" x14ac:dyDescent="0.2">
      <c r="E67" s="4"/>
      <c r="F67" s="4"/>
      <c r="G67" s="16"/>
    </row>
    <row r="68" spans="5:7" x14ac:dyDescent="0.2">
      <c r="E68" s="4"/>
      <c r="F68" s="4"/>
      <c r="G68" s="16"/>
    </row>
    <row r="69" spans="5:7" x14ac:dyDescent="0.2">
      <c r="E69" s="4"/>
      <c r="F69" s="4"/>
      <c r="G69" s="16"/>
    </row>
    <row r="70" spans="5:7" x14ac:dyDescent="0.2">
      <c r="F70" s="4"/>
      <c r="G70" s="16"/>
    </row>
    <row r="71" spans="5:7" x14ac:dyDescent="0.2">
      <c r="F71" s="4"/>
      <c r="G71" s="16"/>
    </row>
    <row r="72" spans="5:7" x14ac:dyDescent="0.2">
      <c r="F72" s="4"/>
      <c r="G72" s="16"/>
    </row>
    <row r="73" spans="5:7" x14ac:dyDescent="0.2">
      <c r="F73" s="4"/>
      <c r="G73" s="16"/>
    </row>
    <row r="74" spans="5:7" x14ac:dyDescent="0.2">
      <c r="F74" s="4"/>
      <c r="G74" s="16"/>
    </row>
    <row r="75" spans="5:7" x14ac:dyDescent="0.2">
      <c r="F75" s="4"/>
      <c r="G75" s="16"/>
    </row>
    <row r="76" spans="5:7" x14ac:dyDescent="0.2">
      <c r="F76" s="4"/>
      <c r="G76" s="16"/>
    </row>
    <row r="77" spans="5:7" x14ac:dyDescent="0.2">
      <c r="F77" s="4"/>
      <c r="G77" s="16"/>
    </row>
    <row r="78" spans="5:7" x14ac:dyDescent="0.2">
      <c r="F78" s="16"/>
      <c r="G78" s="16"/>
    </row>
    <row r="79" spans="5:7" x14ac:dyDescent="0.2">
      <c r="F79" s="16"/>
      <c r="G79" s="16"/>
    </row>
    <row r="80" spans="5:7" x14ac:dyDescent="0.2">
      <c r="F80" s="16"/>
      <c r="G80" s="16"/>
    </row>
    <row r="81" spans="6:7" x14ac:dyDescent="0.2">
      <c r="F81" s="16"/>
      <c r="G81" s="16"/>
    </row>
    <row r="82" spans="6:7" x14ac:dyDescent="0.2">
      <c r="F82" s="16"/>
      <c r="G82" s="16"/>
    </row>
    <row r="83" spans="6:7" x14ac:dyDescent="0.2">
      <c r="F83" s="16"/>
      <c r="G83" s="16"/>
    </row>
    <row r="84" spans="6:7" x14ac:dyDescent="0.2">
      <c r="F84" s="16"/>
      <c r="G84" s="16"/>
    </row>
    <row r="85" spans="6:7" x14ac:dyDescent="0.2">
      <c r="F85" s="16"/>
      <c r="G85" s="16"/>
    </row>
    <row r="86" spans="6:7" x14ac:dyDescent="0.2">
      <c r="F86" s="16"/>
      <c r="G86" s="16"/>
    </row>
    <row r="87" spans="6:7" x14ac:dyDescent="0.2">
      <c r="F87" s="16"/>
      <c r="G87" s="16"/>
    </row>
    <row r="88" spans="6:7" x14ac:dyDescent="0.2">
      <c r="F88" s="16"/>
      <c r="G88" s="16"/>
    </row>
    <row r="89" spans="6:7" x14ac:dyDescent="0.2">
      <c r="F89" s="16"/>
      <c r="G89" s="16"/>
    </row>
    <row r="90" spans="6:7" x14ac:dyDescent="0.2">
      <c r="F90" s="16"/>
      <c r="G90" s="16"/>
    </row>
    <row r="91" spans="6:7" x14ac:dyDescent="0.2">
      <c r="F91" s="16"/>
      <c r="G91" s="16"/>
    </row>
    <row r="92" spans="6:7" x14ac:dyDescent="0.2">
      <c r="F92" s="16"/>
      <c r="G92" s="16"/>
    </row>
    <row r="93" spans="6:7" x14ac:dyDescent="0.2">
      <c r="F93" s="16"/>
      <c r="G93" s="16"/>
    </row>
    <row r="94" spans="6:7" x14ac:dyDescent="0.2">
      <c r="F94" s="16"/>
      <c r="G94" s="16"/>
    </row>
    <row r="95" spans="6:7" x14ac:dyDescent="0.2">
      <c r="F95" s="16"/>
      <c r="G95" s="16"/>
    </row>
    <row r="96" spans="6:7" x14ac:dyDescent="0.2">
      <c r="F96" s="16"/>
      <c r="G96" s="16"/>
    </row>
    <row r="97" spans="6:7" x14ac:dyDescent="0.2">
      <c r="F97" s="16"/>
      <c r="G97" s="16"/>
    </row>
    <row r="98" spans="6:7" x14ac:dyDescent="0.2">
      <c r="F98" s="16"/>
      <c r="G98" s="16"/>
    </row>
    <row r="99" spans="6:7" x14ac:dyDescent="0.2">
      <c r="F99" s="16"/>
      <c r="G99" s="16"/>
    </row>
    <row r="100" spans="6:7" x14ac:dyDescent="0.2">
      <c r="F100" s="16"/>
      <c r="G100" s="16"/>
    </row>
    <row r="101" spans="6:7" x14ac:dyDescent="0.2">
      <c r="F101" s="16"/>
      <c r="G101" s="16"/>
    </row>
    <row r="102" spans="6:7" x14ac:dyDescent="0.2">
      <c r="F102" s="16"/>
      <c r="G102" s="16"/>
    </row>
  </sheetData>
  <phoneticPr fontId="5" type="noConversion"/>
  <printOptions gridLines="1" gridLinesSet="0"/>
  <pageMargins left="0.25" right="0.25" top="0.75" bottom="0.75" header="0.3" footer="0.3"/>
  <pageSetup orientation="portrait" horizontalDpi="4294967293" verticalDpi="4294967293" r:id="rId1"/>
  <headerFooter alignWithMargins="0">
    <oddHeader>&amp;A</oddHeader>
    <oddFooter>Página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sqref="A1:G37"/>
    </sheetView>
  </sheetViews>
  <sheetFormatPr defaultColWidth="11.42578125" defaultRowHeight="12.75" x14ac:dyDescent="0.2"/>
  <cols>
    <col min="1" max="1" width="21.7109375" style="66" customWidth="1"/>
    <col min="2" max="2" width="9.85546875" style="67" customWidth="1"/>
    <col min="3" max="3" width="16.7109375" style="66" customWidth="1"/>
    <col min="4" max="4" width="9.7109375" style="67" customWidth="1"/>
    <col min="5" max="5" width="10.85546875" style="66" customWidth="1"/>
    <col min="6" max="6" width="14.42578125" style="67" customWidth="1"/>
    <col min="7" max="7" width="11.42578125" style="67" customWidth="1"/>
    <col min="8" max="8" width="14.85546875" style="67" customWidth="1"/>
    <col min="9" max="16384" width="11.42578125" style="66"/>
  </cols>
  <sheetData>
    <row r="2" spans="1:8" x14ac:dyDescent="0.2">
      <c r="A2" s="66" t="s">
        <v>89</v>
      </c>
    </row>
    <row r="3" spans="1:8" x14ac:dyDescent="0.2">
      <c r="F3" s="66"/>
      <c r="H3" s="66"/>
    </row>
    <row r="4" spans="1:8" x14ac:dyDescent="0.2">
      <c r="A4" s="67" t="s">
        <v>1</v>
      </c>
      <c r="B4" s="67" t="s">
        <v>2</v>
      </c>
      <c r="C4" s="66" t="s">
        <v>90</v>
      </c>
      <c r="D4" s="68">
        <v>30000</v>
      </c>
      <c r="F4" s="66"/>
      <c r="H4" s="66"/>
    </row>
    <row r="5" spans="1:8" x14ac:dyDescent="0.2">
      <c r="A5" s="67" t="s">
        <v>10</v>
      </c>
      <c r="B5" s="67">
        <v>2</v>
      </c>
      <c r="C5" s="66" t="s">
        <v>47</v>
      </c>
      <c r="D5" s="67">
        <v>30</v>
      </c>
      <c r="F5" s="66"/>
      <c r="H5" s="66"/>
    </row>
    <row r="6" spans="1:8" x14ac:dyDescent="0.2">
      <c r="A6" s="67" t="s">
        <v>91</v>
      </c>
      <c r="B6" s="67">
        <v>5</v>
      </c>
      <c r="D6" s="66"/>
      <c r="F6" s="66"/>
      <c r="H6" s="66"/>
    </row>
    <row r="7" spans="1:8" x14ac:dyDescent="0.2">
      <c r="A7" s="67" t="s">
        <v>15</v>
      </c>
      <c r="B7" s="67">
        <v>0.65</v>
      </c>
      <c r="D7" s="67" t="s">
        <v>92</v>
      </c>
      <c r="E7" s="67" t="s">
        <v>2</v>
      </c>
      <c r="F7" s="67" t="s">
        <v>93</v>
      </c>
      <c r="G7" s="67" t="s">
        <v>94</v>
      </c>
      <c r="H7" s="66"/>
    </row>
    <row r="8" spans="1:8" x14ac:dyDescent="0.2">
      <c r="A8" s="67" t="s">
        <v>16</v>
      </c>
      <c r="B8" s="67">
        <v>3</v>
      </c>
      <c r="C8" s="66" t="s">
        <v>95</v>
      </c>
      <c r="D8" s="67" t="s">
        <v>96</v>
      </c>
      <c r="E8" s="67" t="s">
        <v>97</v>
      </c>
      <c r="F8" s="67" t="s">
        <v>98</v>
      </c>
      <c r="G8" s="67" t="s">
        <v>70</v>
      </c>
      <c r="H8" s="66"/>
    </row>
    <row r="9" spans="1:8" x14ac:dyDescent="0.2">
      <c r="A9" s="67" t="s">
        <v>62</v>
      </c>
      <c r="B9" s="67">
        <v>8</v>
      </c>
      <c r="C9" s="66" t="s">
        <v>99</v>
      </c>
      <c r="D9" s="68">
        <v>6000</v>
      </c>
      <c r="E9" s="67">
        <v>80</v>
      </c>
      <c r="F9" s="67">
        <v>50</v>
      </c>
      <c r="G9" s="69">
        <f>(D9*(1+(E9/100))/184)*F9</f>
        <v>2934.7826086956525</v>
      </c>
      <c r="H9" s="66"/>
    </row>
    <row r="10" spans="1:8" x14ac:dyDescent="0.2">
      <c r="A10" s="67" t="s">
        <v>235</v>
      </c>
      <c r="B10" s="67">
        <v>1.08</v>
      </c>
      <c r="C10" s="66" t="s">
        <v>100</v>
      </c>
      <c r="D10" s="68">
        <v>4000</v>
      </c>
      <c r="E10" s="67">
        <v>80</v>
      </c>
      <c r="F10" s="67">
        <v>100</v>
      </c>
      <c r="G10" s="69">
        <f>(D10*(1+(E10/100))/184)*F10</f>
        <v>3913.0434782608695</v>
      </c>
    </row>
    <row r="11" spans="1:8" x14ac:dyDescent="0.2">
      <c r="B11" s="66"/>
      <c r="C11" s="66" t="s">
        <v>101</v>
      </c>
      <c r="D11" s="68">
        <v>2000</v>
      </c>
      <c r="E11" s="67">
        <v>80</v>
      </c>
      <c r="F11" s="67">
        <v>200</v>
      </c>
      <c r="G11" s="69">
        <f>(D11*(1+(E11/100))/184)*F11</f>
        <v>3913.0434782608695</v>
      </c>
    </row>
    <row r="12" spans="1:8" x14ac:dyDescent="0.2">
      <c r="C12" s="66" t="s">
        <v>102</v>
      </c>
      <c r="D12" s="68">
        <v>1000</v>
      </c>
      <c r="E12" s="67">
        <v>80</v>
      </c>
      <c r="F12" s="67">
        <v>250</v>
      </c>
      <c r="G12" s="69">
        <f>(D12*(1+(E12/100))/184)*F12</f>
        <v>2445.6521739130435</v>
      </c>
    </row>
    <row r="13" spans="1:8" x14ac:dyDescent="0.2">
      <c r="D13" s="68"/>
      <c r="E13" s="67"/>
      <c r="G13" s="69"/>
    </row>
    <row r="14" spans="1:8" x14ac:dyDescent="0.2">
      <c r="A14" s="66" t="s">
        <v>53</v>
      </c>
      <c r="B14" s="67">
        <v>1</v>
      </c>
      <c r="G14" s="69">
        <f>SUM(G9:G12)</f>
        <v>13206.521739130436</v>
      </c>
    </row>
    <row r="15" spans="1:8" x14ac:dyDescent="0.2">
      <c r="A15" s="66" t="s">
        <v>19</v>
      </c>
      <c r="B15" s="70">
        <f>(B14/100+1)^(1/30)</f>
        <v>1.0003317327062342</v>
      </c>
      <c r="D15" s="66"/>
      <c r="F15" s="66"/>
      <c r="G15" s="66"/>
    </row>
    <row r="16" spans="1:8" x14ac:dyDescent="0.2">
      <c r="D16" s="66"/>
      <c r="F16" s="66"/>
      <c r="G16" s="66"/>
    </row>
    <row r="18" spans="1:4" x14ac:dyDescent="0.2">
      <c r="B18" s="67" t="s">
        <v>57</v>
      </c>
      <c r="C18" s="67" t="s">
        <v>58</v>
      </c>
      <c r="D18" s="67" t="s">
        <v>59</v>
      </c>
    </row>
    <row r="19" spans="1:4" x14ac:dyDescent="0.2">
      <c r="C19" s="67"/>
    </row>
    <row r="20" spans="1:4" x14ac:dyDescent="0.2">
      <c r="A20" s="66" t="s">
        <v>27</v>
      </c>
      <c r="B20" s="69">
        <f>D4</f>
        <v>30000</v>
      </c>
      <c r="C20" s="67">
        <f>D5</f>
        <v>30</v>
      </c>
      <c r="D20" s="69">
        <f t="shared" ref="D20:D27" si="0">B20/($B$15^C20)</f>
        <v>29702.970297029671</v>
      </c>
    </row>
    <row r="21" spans="1:4" x14ac:dyDescent="0.2">
      <c r="A21" s="66" t="s">
        <v>103</v>
      </c>
      <c r="B21" s="69">
        <f>-G14</f>
        <v>-13206.521739130436</v>
      </c>
      <c r="C21" s="67">
        <v>15</v>
      </c>
      <c r="D21" s="69">
        <f t="shared" si="0"/>
        <v>-13140.98028375148</v>
      </c>
    </row>
    <row r="22" spans="1:4" x14ac:dyDescent="0.2">
      <c r="A22" s="66" t="s">
        <v>10</v>
      </c>
      <c r="B22" s="69">
        <f>-B20*(B5/100)</f>
        <v>-600</v>
      </c>
      <c r="C22" s="67"/>
      <c r="D22" s="69">
        <f t="shared" si="0"/>
        <v>-600</v>
      </c>
    </row>
    <row r="23" spans="1:4" x14ac:dyDescent="0.2">
      <c r="A23" s="66" t="s">
        <v>91</v>
      </c>
      <c r="B23" s="69">
        <f>-B20*(B6/100)</f>
        <v>-1500</v>
      </c>
      <c r="C23" s="67"/>
      <c r="D23" s="69">
        <f t="shared" si="0"/>
        <v>-1500</v>
      </c>
    </row>
    <row r="24" spans="1:4" x14ac:dyDescent="0.2">
      <c r="A24" s="66" t="s">
        <v>15</v>
      </c>
      <c r="B24" s="69">
        <f>-B20*(B7/100)</f>
        <v>-195.00000000000003</v>
      </c>
      <c r="C24" s="67"/>
      <c r="D24" s="69">
        <f t="shared" si="0"/>
        <v>-195.00000000000003</v>
      </c>
    </row>
    <row r="25" spans="1:4" x14ac:dyDescent="0.2">
      <c r="A25" s="66" t="s">
        <v>16</v>
      </c>
      <c r="B25" s="69">
        <f>-B20*(B8/100)</f>
        <v>-900</v>
      </c>
      <c r="C25" s="67"/>
      <c r="D25" s="69">
        <f t="shared" si="0"/>
        <v>-900</v>
      </c>
    </row>
    <row r="26" spans="1:4" ht="12.75" customHeight="1" x14ac:dyDescent="0.2">
      <c r="A26" s="66" t="s">
        <v>62</v>
      </c>
      <c r="B26" s="69">
        <f>-B20*(B9/100)</f>
        <v>-2400</v>
      </c>
      <c r="C26" s="67"/>
      <c r="D26" s="69">
        <f t="shared" si="0"/>
        <v>-2400</v>
      </c>
    </row>
    <row r="27" spans="1:4" x14ac:dyDescent="0.2">
      <c r="A27" s="66" t="s">
        <v>235</v>
      </c>
      <c r="B27" s="69">
        <f>-B20*(B10/100)</f>
        <v>-324</v>
      </c>
      <c r="C27" s="67"/>
      <c r="D27" s="69">
        <f t="shared" si="0"/>
        <v>-324</v>
      </c>
    </row>
    <row r="28" spans="1:4" x14ac:dyDescent="0.2">
      <c r="A28" s="66" t="s">
        <v>64</v>
      </c>
      <c r="B28" s="69">
        <f>SUM(B20:B27)</f>
        <v>10874.478260869564</v>
      </c>
      <c r="C28" s="67"/>
      <c r="D28" s="69">
        <f>SUM(D20:D27)</f>
        <v>10642.990013278191</v>
      </c>
    </row>
    <row r="29" spans="1:4" x14ac:dyDescent="0.2">
      <c r="A29" s="66" t="s">
        <v>65</v>
      </c>
      <c r="B29" s="69">
        <f>(B28/B20)*100</f>
        <v>36.248260869565215</v>
      </c>
      <c r="D29" s="69">
        <f>(D28/D20)*100</f>
        <v>35.831399711369947</v>
      </c>
    </row>
    <row r="31" spans="1:4" x14ac:dyDescent="0.2">
      <c r="A31" s="66" t="s">
        <v>104</v>
      </c>
      <c r="B31" s="68"/>
    </row>
    <row r="32" spans="1:4" x14ac:dyDescent="0.2">
      <c r="A32" s="66" t="s">
        <v>67</v>
      </c>
      <c r="B32" s="69">
        <f>-(B20*C20)/30</f>
        <v>-30000</v>
      </c>
    </row>
    <row r="33" spans="1:2" x14ac:dyDescent="0.2">
      <c r="A33" s="66" t="s">
        <v>135</v>
      </c>
      <c r="B33" s="69">
        <f>(G14*C21)/30</f>
        <v>6603.2608695652179</v>
      </c>
    </row>
    <row r="34" spans="1:2" x14ac:dyDescent="0.2">
      <c r="A34" s="66" t="s">
        <v>70</v>
      </c>
      <c r="B34" s="69">
        <f>SUM(B32:B33)</f>
        <v>-23396.739130434784</v>
      </c>
    </row>
    <row r="35" spans="1:2" x14ac:dyDescent="0.2">
      <c r="B35" s="68"/>
    </row>
    <row r="36" spans="1:2" x14ac:dyDescent="0.2">
      <c r="A36" s="66" t="s">
        <v>105</v>
      </c>
      <c r="B36" s="68"/>
    </row>
    <row r="37" spans="1:2" x14ac:dyDescent="0.2">
      <c r="A37" s="66" t="s">
        <v>106</v>
      </c>
      <c r="B37" s="69">
        <f>-(B28/B34)*100</f>
        <v>46.478606271776997</v>
      </c>
    </row>
  </sheetData>
  <phoneticPr fontId="5" type="noConversion"/>
  <printOptions gridLines="1" gridLinesSet="0"/>
  <pageMargins left="0.78740157480314965" right="0.78740157480314965" top="0.39370078740157483" bottom="0.39370078740157483" header="0.51181102362204722" footer="0.51181102362204722"/>
  <pageSetup paperSize="27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selection sqref="A1:B31"/>
    </sheetView>
  </sheetViews>
  <sheetFormatPr defaultColWidth="11.42578125" defaultRowHeight="12.75" x14ac:dyDescent="0.2"/>
  <cols>
    <col min="1" max="1" width="40.85546875" style="2" customWidth="1"/>
    <col min="2" max="2" width="24.140625" style="26" customWidth="1"/>
    <col min="3" max="3" width="6.85546875" style="25" customWidth="1"/>
    <col min="4" max="5" width="6.28515625" style="25" customWidth="1"/>
    <col min="6" max="14" width="6.7109375" style="25" customWidth="1"/>
  </cols>
  <sheetData>
    <row r="1" spans="1:2" x14ac:dyDescent="0.2">
      <c r="A1" s="67" t="s">
        <v>136</v>
      </c>
      <c r="B1" s="66"/>
    </row>
    <row r="2" spans="1:2" x14ac:dyDescent="0.2">
      <c r="A2" s="67"/>
      <c r="B2" s="66"/>
    </row>
    <row r="3" spans="1:2" x14ac:dyDescent="0.2">
      <c r="A3" s="67" t="s">
        <v>137</v>
      </c>
      <c r="B3" s="71">
        <f>SUM(B4:B5)</f>
        <v>79000</v>
      </c>
    </row>
    <row r="4" spans="1:2" x14ac:dyDescent="0.2">
      <c r="A4" s="72" t="s">
        <v>138</v>
      </c>
      <c r="B4" s="71">
        <v>78000</v>
      </c>
    </row>
    <row r="5" spans="1:2" x14ac:dyDescent="0.2">
      <c r="A5" s="72" t="s">
        <v>139</v>
      </c>
      <c r="B5" s="71">
        <v>1000</v>
      </c>
    </row>
    <row r="6" spans="1:2" x14ac:dyDescent="0.2">
      <c r="A6" s="72"/>
      <c r="B6" s="71"/>
    </row>
    <row r="7" spans="1:2" x14ac:dyDescent="0.2">
      <c r="A7" s="67" t="s">
        <v>140</v>
      </c>
      <c r="B7" s="73">
        <f>SUM(B8:B13)</f>
        <v>48270.425000000003</v>
      </c>
    </row>
    <row r="8" spans="1:2" x14ac:dyDescent="0.2">
      <c r="A8" s="72" t="s">
        <v>141</v>
      </c>
      <c r="B8" s="73">
        <f>IF('[1]tabela 4.8'!B30&gt;0,0,('[1]tabela 4.6'!B4+B12+B13)*28%)</f>
        <v>24260.600000000002</v>
      </c>
    </row>
    <row r="9" spans="1:2" x14ac:dyDescent="0.2">
      <c r="A9" s="72" t="s">
        <v>142</v>
      </c>
      <c r="B9" s="73">
        <f>(B4+B12+B13)*8.5%</f>
        <v>7364.8250000000007</v>
      </c>
    </row>
    <row r="10" spans="1:2" x14ac:dyDescent="0.2">
      <c r="A10" s="67" t="s">
        <v>143</v>
      </c>
      <c r="B10" s="71">
        <v>5000</v>
      </c>
    </row>
    <row r="11" spans="1:2" x14ac:dyDescent="0.2">
      <c r="A11" s="67" t="s">
        <v>144</v>
      </c>
      <c r="B11" s="71">
        <v>3000</v>
      </c>
    </row>
    <row r="12" spans="1:2" x14ac:dyDescent="0.2">
      <c r="A12" s="67" t="s">
        <v>145</v>
      </c>
      <c r="B12" s="73">
        <f>B4/12</f>
        <v>6500</v>
      </c>
    </row>
    <row r="13" spans="1:2" x14ac:dyDescent="0.2">
      <c r="A13" s="67" t="s">
        <v>146</v>
      </c>
      <c r="B13" s="73">
        <f>B12*33%</f>
        <v>2145</v>
      </c>
    </row>
    <row r="14" spans="1:2" x14ac:dyDescent="0.2">
      <c r="A14" s="67"/>
      <c r="B14" s="71"/>
    </row>
    <row r="15" spans="1:2" x14ac:dyDescent="0.2">
      <c r="A15" s="67" t="s">
        <v>147</v>
      </c>
      <c r="B15" s="73">
        <f>SUM(B16:B19)</f>
        <v>9500</v>
      </c>
    </row>
    <row r="16" spans="1:2" x14ac:dyDescent="0.2">
      <c r="A16" s="67" t="s">
        <v>148</v>
      </c>
      <c r="B16" s="71">
        <v>4000</v>
      </c>
    </row>
    <row r="17" spans="1:2" x14ac:dyDescent="0.2">
      <c r="A17" s="67" t="s">
        <v>149</v>
      </c>
      <c r="B17" s="71">
        <v>3500</v>
      </c>
    </row>
    <row r="18" spans="1:2" x14ac:dyDescent="0.2">
      <c r="A18" s="67" t="s">
        <v>150</v>
      </c>
      <c r="B18" s="71">
        <v>500</v>
      </c>
    </row>
    <row r="19" spans="1:2" x14ac:dyDescent="0.2">
      <c r="A19" s="67" t="s">
        <v>151</v>
      </c>
      <c r="B19" s="71">
        <v>1500</v>
      </c>
    </row>
    <row r="20" spans="1:2" x14ac:dyDescent="0.2">
      <c r="A20" s="67"/>
      <c r="B20" s="71"/>
    </row>
    <row r="21" spans="1:2" x14ac:dyDescent="0.2">
      <c r="A21" s="67" t="s">
        <v>152</v>
      </c>
      <c r="B21" s="73">
        <f>B3+B7+B15</f>
        <v>136770.42499999999</v>
      </c>
    </row>
    <row r="22" spans="1:2" x14ac:dyDescent="0.2">
      <c r="A22" s="67"/>
      <c r="B22" s="74"/>
    </row>
    <row r="23" spans="1:2" x14ac:dyDescent="0.2">
      <c r="A23" s="67" t="s">
        <v>153</v>
      </c>
      <c r="B23" s="75">
        <v>50</v>
      </c>
    </row>
    <row r="24" spans="1:2" x14ac:dyDescent="0.2">
      <c r="A24" s="67"/>
      <c r="B24" s="74"/>
    </row>
    <row r="25" spans="1:2" x14ac:dyDescent="0.2">
      <c r="A25" s="67" t="s">
        <v>154</v>
      </c>
      <c r="B25" s="74">
        <f>B23*23*8</f>
        <v>9200</v>
      </c>
    </row>
    <row r="26" spans="1:2" x14ac:dyDescent="0.2">
      <c r="A26" s="67"/>
      <c r="B26" s="74"/>
    </row>
    <row r="27" spans="1:2" x14ac:dyDescent="0.2">
      <c r="A27" s="67" t="s">
        <v>155</v>
      </c>
      <c r="B27" s="76">
        <f>B21/B25</f>
        <v>14.86635054347826</v>
      </c>
    </row>
    <row r="28" spans="1:2" x14ac:dyDescent="0.2">
      <c r="A28" s="67"/>
      <c r="B28" s="74"/>
    </row>
    <row r="29" spans="1:2" x14ac:dyDescent="0.2">
      <c r="A29" s="67" t="s">
        <v>156</v>
      </c>
      <c r="B29" s="74">
        <v>0.5</v>
      </c>
    </row>
    <row r="30" spans="1:2" x14ac:dyDescent="0.2">
      <c r="A30" s="67"/>
      <c r="B30" s="74"/>
    </row>
    <row r="31" spans="1:2" x14ac:dyDescent="0.2">
      <c r="A31" s="67" t="s">
        <v>157</v>
      </c>
      <c r="B31" s="76">
        <f>B27*B29</f>
        <v>7.4331752717391302</v>
      </c>
    </row>
    <row r="32" spans="1:2" x14ac:dyDescent="0.2">
      <c r="B32" s="29"/>
    </row>
    <row r="33" spans="2:2" x14ac:dyDescent="0.2">
      <c r="B33" s="29"/>
    </row>
    <row r="34" spans="2:2" x14ac:dyDescent="0.2">
      <c r="B34" s="29"/>
    </row>
    <row r="35" spans="2:2" x14ac:dyDescent="0.2">
      <c r="B35" s="29"/>
    </row>
    <row r="36" spans="2:2" x14ac:dyDescent="0.2">
      <c r="B36" s="29"/>
    </row>
    <row r="37" spans="2:2" x14ac:dyDescent="0.2">
      <c r="B37" s="29"/>
    </row>
    <row r="38" spans="2:2" x14ac:dyDescent="0.2">
      <c r="B38" s="29"/>
    </row>
    <row r="39" spans="2:2" x14ac:dyDescent="0.2">
      <c r="B39" s="29"/>
    </row>
    <row r="40" spans="2:2" x14ac:dyDescent="0.2">
      <c r="B40" s="29"/>
    </row>
    <row r="41" spans="2:2" x14ac:dyDescent="0.2">
      <c r="B41" s="29"/>
    </row>
    <row r="42" spans="2:2" x14ac:dyDescent="0.2">
      <c r="B42" s="29"/>
    </row>
    <row r="43" spans="2:2" x14ac:dyDescent="0.2">
      <c r="B43" s="29"/>
    </row>
    <row r="44" spans="2:2" x14ac:dyDescent="0.2">
      <c r="B44" s="29"/>
    </row>
  </sheetData>
  <phoneticPr fontId="5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5"/>
  <sheetViews>
    <sheetView workbookViewId="0">
      <selection activeCell="A2" sqref="A2:C105"/>
    </sheetView>
  </sheetViews>
  <sheetFormatPr defaultColWidth="11.42578125" defaultRowHeight="12.75" x14ac:dyDescent="0.2"/>
  <cols>
    <col min="1" max="1" width="40.140625" style="2" customWidth="1"/>
    <col min="2" max="2" width="34.42578125" style="25" customWidth="1"/>
  </cols>
  <sheetData>
    <row r="3" spans="1:2" x14ac:dyDescent="0.2">
      <c r="A3"/>
      <c r="B3" s="25" t="s">
        <v>158</v>
      </c>
    </row>
    <row r="4" spans="1:2" x14ac:dyDescent="0.2">
      <c r="B4" s="25" t="s">
        <v>159</v>
      </c>
    </row>
    <row r="5" spans="1:2" x14ac:dyDescent="0.2">
      <c r="B5" s="25" t="s">
        <v>160</v>
      </c>
    </row>
    <row r="8" spans="1:2" x14ac:dyDescent="0.2">
      <c r="A8" s="32" t="s">
        <v>161</v>
      </c>
    </row>
    <row r="9" spans="1:2" x14ac:dyDescent="0.2">
      <c r="A9" s="32" t="s">
        <v>137</v>
      </c>
      <c r="B9" s="26">
        <f>SUM(B10:B10)</f>
        <v>55000</v>
      </c>
    </row>
    <row r="10" spans="1:2" x14ac:dyDescent="0.2">
      <c r="A10" s="33" t="s">
        <v>138</v>
      </c>
      <c r="B10" s="26">
        <v>55000</v>
      </c>
    </row>
    <row r="11" spans="1:2" x14ac:dyDescent="0.2">
      <c r="A11" s="33"/>
      <c r="B11" s="26"/>
    </row>
    <row r="12" spans="1:2" x14ac:dyDescent="0.2">
      <c r="A12" s="32" t="s">
        <v>140</v>
      </c>
      <c r="B12" s="28">
        <f>SUM(B13:B18)</f>
        <v>32311.531500000001</v>
      </c>
    </row>
    <row r="13" spans="1:2" x14ac:dyDescent="0.2">
      <c r="A13" s="33" t="s">
        <v>141</v>
      </c>
      <c r="B13" s="28">
        <f>IF('[1]tabela 4.8'!B30&gt;0,0,('[1]tabela 4.6'!B7+B17+B18)*28%)</f>
        <v>15222.552333333337</v>
      </c>
    </row>
    <row r="14" spans="1:2" x14ac:dyDescent="0.2">
      <c r="A14" s="33" t="s">
        <v>142</v>
      </c>
      <c r="B14" s="28">
        <f>(B10+B17+B18)*8.5%</f>
        <v>5193.1458333333339</v>
      </c>
    </row>
    <row r="15" spans="1:2" x14ac:dyDescent="0.2">
      <c r="A15" s="32" t="s">
        <v>143</v>
      </c>
      <c r="B15" s="26">
        <v>4000</v>
      </c>
    </row>
    <row r="16" spans="1:2" x14ac:dyDescent="0.2">
      <c r="A16" s="32" t="s">
        <v>144</v>
      </c>
      <c r="B16" s="26">
        <v>1800</v>
      </c>
    </row>
    <row r="17" spans="1:2" x14ac:dyDescent="0.2">
      <c r="A17" s="32" t="s">
        <v>145</v>
      </c>
      <c r="B17" s="28">
        <f>B10/12</f>
        <v>4583.333333333333</v>
      </c>
    </row>
    <row r="18" spans="1:2" x14ac:dyDescent="0.2">
      <c r="A18" s="32" t="s">
        <v>146</v>
      </c>
      <c r="B18" s="28">
        <f>B17*33%</f>
        <v>1512.5</v>
      </c>
    </row>
    <row r="19" spans="1:2" x14ac:dyDescent="0.2">
      <c r="A19" s="32"/>
      <c r="B19" s="26"/>
    </row>
    <row r="20" spans="1:2" x14ac:dyDescent="0.2">
      <c r="A20" s="32" t="s">
        <v>147</v>
      </c>
      <c r="B20" s="28">
        <f>SUM(B21:B24)</f>
        <v>6800</v>
      </c>
    </row>
    <row r="21" spans="1:2" x14ac:dyDescent="0.2">
      <c r="A21" s="32" t="s">
        <v>148</v>
      </c>
      <c r="B21" s="26">
        <v>3000</v>
      </c>
    </row>
    <row r="22" spans="1:2" x14ac:dyDescent="0.2">
      <c r="A22" s="32" t="s">
        <v>149</v>
      </c>
      <c r="B22" s="26">
        <v>2000</v>
      </c>
    </row>
    <row r="23" spans="1:2" x14ac:dyDescent="0.2">
      <c r="A23" s="32" t="s">
        <v>150</v>
      </c>
      <c r="B23" s="26">
        <v>800</v>
      </c>
    </row>
    <row r="24" spans="1:2" x14ac:dyDescent="0.2">
      <c r="A24" s="32" t="s">
        <v>151</v>
      </c>
      <c r="B24" s="26">
        <v>1000</v>
      </c>
    </row>
    <row r="25" spans="1:2" x14ac:dyDescent="0.2">
      <c r="B25" s="26"/>
    </row>
    <row r="26" spans="1:2" x14ac:dyDescent="0.2">
      <c r="A26" s="2" t="s">
        <v>162</v>
      </c>
      <c r="B26" s="28">
        <f>B9+B12+B20</f>
        <v>94111.531499999997</v>
      </c>
    </row>
    <row r="28" spans="1:2" x14ac:dyDescent="0.2">
      <c r="A28" s="2" t="s">
        <v>163</v>
      </c>
    </row>
    <row r="29" spans="1:2" x14ac:dyDescent="0.2">
      <c r="A29" s="32" t="s">
        <v>164</v>
      </c>
      <c r="B29" s="25">
        <v>5000</v>
      </c>
    </row>
    <row r="30" spans="1:2" x14ac:dyDescent="0.2">
      <c r="A30" s="32" t="s">
        <v>165</v>
      </c>
      <c r="B30" s="25">
        <v>4000</v>
      </c>
    </row>
    <row r="31" spans="1:2" x14ac:dyDescent="0.2">
      <c r="A31" s="32" t="s">
        <v>166</v>
      </c>
      <c r="B31" s="25">
        <v>7000</v>
      </c>
    </row>
    <row r="32" spans="1:2" x14ac:dyDescent="0.2">
      <c r="A32" s="32" t="s">
        <v>167</v>
      </c>
      <c r="B32" s="25">
        <v>3500</v>
      </c>
    </row>
    <row r="33" spans="1:2" x14ac:dyDescent="0.2">
      <c r="A33" s="32" t="s">
        <v>168</v>
      </c>
      <c r="B33" s="25">
        <v>3000</v>
      </c>
    </row>
    <row r="34" spans="1:2" x14ac:dyDescent="0.2">
      <c r="A34" s="32" t="s">
        <v>169</v>
      </c>
      <c r="B34" s="34">
        <f>SUM(B29:B33)</f>
        <v>22500</v>
      </c>
    </row>
    <row r="36" spans="1:2" x14ac:dyDescent="0.2">
      <c r="A36" s="2" t="s">
        <v>170</v>
      </c>
      <c r="B36" s="34">
        <f>B26+B34</f>
        <v>116611.5315</v>
      </c>
    </row>
    <row r="37" spans="1:2" s="6" customFormat="1" x14ac:dyDescent="0.2">
      <c r="A37" s="12"/>
      <c r="B37" s="30"/>
    </row>
    <row r="38" spans="1:2" x14ac:dyDescent="0.2">
      <c r="A38" s="2" t="s">
        <v>171</v>
      </c>
      <c r="B38" s="30">
        <v>25000</v>
      </c>
    </row>
    <row r="39" spans="1:2" s="6" customFormat="1" x14ac:dyDescent="0.2">
      <c r="A39" s="12" t="s">
        <v>172</v>
      </c>
      <c r="B39" s="30"/>
    </row>
    <row r="40" spans="1:2" s="6" customFormat="1" x14ac:dyDescent="0.2">
      <c r="A40" s="12"/>
      <c r="B40" s="30"/>
    </row>
    <row r="41" spans="1:2" s="6" customFormat="1" x14ac:dyDescent="0.2">
      <c r="A41" s="12" t="s">
        <v>173</v>
      </c>
      <c r="B41" s="31">
        <f>B36/B38</f>
        <v>4.6644612599999995</v>
      </c>
    </row>
    <row r="43" spans="1:2" x14ac:dyDescent="0.2">
      <c r="A43" s="35" t="s">
        <v>174</v>
      </c>
    </row>
    <row r="45" spans="1:2" x14ac:dyDescent="0.2">
      <c r="A45" s="2" t="s">
        <v>137</v>
      </c>
      <c r="B45" s="36">
        <f>SUM(B46:B48)</f>
        <v>110500</v>
      </c>
    </row>
    <row r="46" spans="1:2" x14ac:dyDescent="0.2">
      <c r="A46" s="27" t="s">
        <v>138</v>
      </c>
      <c r="B46" s="25">
        <v>100000</v>
      </c>
    </row>
    <row r="47" spans="1:2" x14ac:dyDescent="0.2">
      <c r="A47" s="2" t="s">
        <v>175</v>
      </c>
      <c r="B47" s="25">
        <v>10000</v>
      </c>
    </row>
    <row r="48" spans="1:2" x14ac:dyDescent="0.2">
      <c r="A48" s="27" t="s">
        <v>139</v>
      </c>
      <c r="B48" s="25">
        <v>500</v>
      </c>
    </row>
    <row r="49" spans="1:2" x14ac:dyDescent="0.2">
      <c r="A49" s="27"/>
    </row>
    <row r="50" spans="1:2" x14ac:dyDescent="0.2">
      <c r="A50" s="2" t="s">
        <v>140</v>
      </c>
      <c r="B50" s="36">
        <f>SUM(B51:B56)</f>
        <v>33128.75</v>
      </c>
    </row>
    <row r="51" spans="1:2" x14ac:dyDescent="0.2">
      <c r="A51" s="27" t="s">
        <v>141</v>
      </c>
      <c r="B51" s="28">
        <f>IF('[1]tabela 4.8'!B30&gt;0,0,('[1]tabela 4.6'!B32+B55+B56)*28%)</f>
        <v>3103.3333333333339</v>
      </c>
    </row>
    <row r="52" spans="1:2" x14ac:dyDescent="0.2">
      <c r="A52" s="27" t="s">
        <v>142</v>
      </c>
      <c r="B52" s="28">
        <f>(B46+B55+B56)*8.5%</f>
        <v>9442.0833333333339</v>
      </c>
    </row>
    <row r="53" spans="1:2" x14ac:dyDescent="0.2">
      <c r="A53" s="2" t="s">
        <v>143</v>
      </c>
      <c r="B53" s="25">
        <v>6500</v>
      </c>
    </row>
    <row r="54" spans="1:2" x14ac:dyDescent="0.2">
      <c r="A54" s="2" t="s">
        <v>144</v>
      </c>
      <c r="B54" s="25">
        <v>3000</v>
      </c>
    </row>
    <row r="55" spans="1:2" x14ac:dyDescent="0.2">
      <c r="A55" s="2" t="s">
        <v>145</v>
      </c>
      <c r="B55" s="36">
        <f>B46/12</f>
        <v>8333.3333333333339</v>
      </c>
    </row>
    <row r="56" spans="1:2" x14ac:dyDescent="0.2">
      <c r="A56" s="2" t="s">
        <v>146</v>
      </c>
      <c r="B56" s="36">
        <f>B46/12*33%</f>
        <v>2750.0000000000005</v>
      </c>
    </row>
    <row r="58" spans="1:2" x14ac:dyDescent="0.2">
      <c r="A58" s="2" t="s">
        <v>147</v>
      </c>
      <c r="B58" s="36">
        <f>SUM(B59:B62)</f>
        <v>11000</v>
      </c>
    </row>
    <row r="59" spans="1:2" x14ac:dyDescent="0.2">
      <c r="A59" s="2" t="s">
        <v>148</v>
      </c>
      <c r="B59" s="25">
        <v>4000</v>
      </c>
    </row>
    <row r="60" spans="1:2" x14ac:dyDescent="0.2">
      <c r="A60" s="2" t="s">
        <v>149</v>
      </c>
      <c r="B60" s="25">
        <v>3500</v>
      </c>
    </row>
    <row r="61" spans="1:2" x14ac:dyDescent="0.2">
      <c r="A61" s="2" t="s">
        <v>150</v>
      </c>
      <c r="B61" s="25">
        <v>1500</v>
      </c>
    </row>
    <row r="62" spans="1:2" x14ac:dyDescent="0.2">
      <c r="A62" s="2" t="s">
        <v>151</v>
      </c>
      <c r="B62" s="25">
        <v>2000</v>
      </c>
    </row>
    <row r="64" spans="1:2" x14ac:dyDescent="0.2">
      <c r="A64" s="2" t="s">
        <v>176</v>
      </c>
      <c r="B64" s="36">
        <f>B45+B50+B58</f>
        <v>154628.75</v>
      </c>
    </row>
    <row r="65" spans="1:2" x14ac:dyDescent="0.2">
      <c r="B65" s="30"/>
    </row>
    <row r="66" spans="1:2" x14ac:dyDescent="0.2">
      <c r="A66" s="2" t="s">
        <v>177</v>
      </c>
    </row>
    <row r="67" spans="1:2" x14ac:dyDescent="0.2">
      <c r="A67" s="2" t="s">
        <v>178</v>
      </c>
      <c r="B67" s="36">
        <f>SUM(B68:B69)</f>
        <v>5700</v>
      </c>
    </row>
    <row r="68" spans="1:2" x14ac:dyDescent="0.2">
      <c r="A68" s="27" t="s">
        <v>179</v>
      </c>
      <c r="B68" s="25">
        <v>5200</v>
      </c>
    </row>
    <row r="69" spans="1:2" x14ac:dyDescent="0.2">
      <c r="A69" s="27" t="s">
        <v>180</v>
      </c>
      <c r="B69" s="25">
        <v>500</v>
      </c>
    </row>
    <row r="70" spans="1:2" x14ac:dyDescent="0.2">
      <c r="A70" s="27"/>
    </row>
    <row r="71" spans="1:2" x14ac:dyDescent="0.2">
      <c r="A71" s="2" t="s">
        <v>181</v>
      </c>
      <c r="B71" s="36">
        <f>SUM(B72:B74)</f>
        <v>15500</v>
      </c>
    </row>
    <row r="72" spans="1:2" x14ac:dyDescent="0.2">
      <c r="A72" s="2" t="s">
        <v>182</v>
      </c>
      <c r="B72" s="25">
        <v>2500</v>
      </c>
    </row>
    <row r="73" spans="1:2" x14ac:dyDescent="0.2">
      <c r="A73" s="2" t="s">
        <v>183</v>
      </c>
      <c r="B73" s="25">
        <v>3000</v>
      </c>
    </row>
    <row r="74" spans="1:2" x14ac:dyDescent="0.2">
      <c r="A74" s="27" t="s">
        <v>184</v>
      </c>
      <c r="B74" s="25">
        <v>10000</v>
      </c>
    </row>
    <row r="75" spans="1:2" x14ac:dyDescent="0.2">
      <c r="A75" s="27"/>
    </row>
    <row r="76" spans="1:2" x14ac:dyDescent="0.2">
      <c r="A76" s="2" t="s">
        <v>185</v>
      </c>
      <c r="B76" s="36">
        <f>SUM(B77:B79)</f>
        <v>4100</v>
      </c>
    </row>
    <row r="77" spans="1:2" x14ac:dyDescent="0.2">
      <c r="A77" s="27" t="s">
        <v>186</v>
      </c>
      <c r="B77" s="25">
        <v>1600</v>
      </c>
    </row>
    <row r="78" spans="1:2" x14ac:dyDescent="0.2">
      <c r="A78" s="27" t="s">
        <v>187</v>
      </c>
      <c r="B78" s="25">
        <v>500</v>
      </c>
    </row>
    <row r="79" spans="1:2" x14ac:dyDescent="0.2">
      <c r="A79" s="27" t="s">
        <v>188</v>
      </c>
      <c r="B79" s="25">
        <v>2000</v>
      </c>
    </row>
    <row r="80" spans="1:2" x14ac:dyDescent="0.2">
      <c r="A80" s="27"/>
    </row>
    <row r="81" spans="1:2" x14ac:dyDescent="0.2">
      <c r="A81" s="2" t="s">
        <v>189</v>
      </c>
      <c r="B81" s="36">
        <f>B82</f>
        <v>1000</v>
      </c>
    </row>
    <row r="82" spans="1:2" x14ac:dyDescent="0.2">
      <c r="A82" s="27" t="s">
        <v>190</v>
      </c>
      <c r="B82" s="25">
        <v>1000</v>
      </c>
    </row>
    <row r="83" spans="1:2" x14ac:dyDescent="0.2">
      <c r="A83" s="27"/>
    </row>
    <row r="84" spans="1:2" x14ac:dyDescent="0.2">
      <c r="A84" s="27" t="s">
        <v>191</v>
      </c>
      <c r="B84" s="36">
        <f>SUM(B85:B86)</f>
        <v>2500</v>
      </c>
    </row>
    <row r="85" spans="1:2" x14ac:dyDescent="0.2">
      <c r="A85" s="27" t="s">
        <v>192</v>
      </c>
      <c r="B85" s="25">
        <v>2000</v>
      </c>
    </row>
    <row r="86" spans="1:2" x14ac:dyDescent="0.2">
      <c r="A86" s="27" t="s">
        <v>193</v>
      </c>
      <c r="B86" s="25">
        <v>500</v>
      </c>
    </row>
    <row r="87" spans="1:2" x14ac:dyDescent="0.2">
      <c r="A87" s="27"/>
    </row>
    <row r="88" spans="1:2" x14ac:dyDescent="0.2">
      <c r="A88" s="27" t="s">
        <v>194</v>
      </c>
      <c r="B88" s="36">
        <f>SUM(B89:B92)</f>
        <v>2800</v>
      </c>
    </row>
    <row r="89" spans="1:2" x14ac:dyDescent="0.2">
      <c r="A89" s="27" t="s">
        <v>195</v>
      </c>
      <c r="B89" s="25">
        <v>700</v>
      </c>
    </row>
    <row r="90" spans="1:2" x14ac:dyDescent="0.2">
      <c r="A90" s="27" t="s">
        <v>196</v>
      </c>
      <c r="B90" s="25">
        <v>500</v>
      </c>
    </row>
    <row r="91" spans="1:2" x14ac:dyDescent="0.2">
      <c r="A91" s="27" t="s">
        <v>197</v>
      </c>
      <c r="B91" s="25">
        <v>1200</v>
      </c>
    </row>
    <row r="92" spans="1:2" x14ac:dyDescent="0.2">
      <c r="A92" s="27" t="s">
        <v>198</v>
      </c>
      <c r="B92" s="25">
        <v>400</v>
      </c>
    </row>
    <row r="94" spans="1:2" x14ac:dyDescent="0.2">
      <c r="A94" s="2" t="s">
        <v>199</v>
      </c>
      <c r="B94" s="25">
        <v>1000</v>
      </c>
    </row>
    <row r="96" spans="1:2" x14ac:dyDescent="0.2">
      <c r="A96" s="27" t="s">
        <v>200</v>
      </c>
      <c r="B96" s="30">
        <v>20000</v>
      </c>
    </row>
    <row r="97" spans="1:2" x14ac:dyDescent="0.2">
      <c r="A97" s="27"/>
    </row>
    <row r="98" spans="1:2" x14ac:dyDescent="0.2">
      <c r="A98" s="2" t="s">
        <v>201</v>
      </c>
      <c r="B98" s="36">
        <f>B67+B71+B76+B81+B84+B88+B94+B96</f>
        <v>52600</v>
      </c>
    </row>
    <row r="99" spans="1:2" x14ac:dyDescent="0.2">
      <c r="A99" s="27"/>
    </row>
    <row r="100" spans="1:2" x14ac:dyDescent="0.2">
      <c r="A100" s="27" t="s">
        <v>202</v>
      </c>
      <c r="B100" s="34">
        <f>SUM(B101:B103)</f>
        <v>11800</v>
      </c>
    </row>
    <row r="101" spans="1:2" x14ac:dyDescent="0.2">
      <c r="A101" s="27" t="s">
        <v>203</v>
      </c>
      <c r="B101" s="25">
        <v>4000</v>
      </c>
    </row>
    <row r="102" spans="1:2" x14ac:dyDescent="0.2">
      <c r="A102" s="2" t="s">
        <v>204</v>
      </c>
      <c r="B102" s="25">
        <v>6800</v>
      </c>
    </row>
    <row r="103" spans="1:2" x14ac:dyDescent="0.2">
      <c r="A103" s="27" t="s">
        <v>205</v>
      </c>
      <c r="B103" s="25">
        <v>1000</v>
      </c>
    </row>
    <row r="104" spans="1:2" x14ac:dyDescent="0.2">
      <c r="A104" s="27"/>
    </row>
    <row r="105" spans="1:2" x14ac:dyDescent="0.2">
      <c r="A105" s="2" t="s">
        <v>206</v>
      </c>
      <c r="B105" s="34">
        <f>B64+B98+B100</f>
        <v>219028.75</v>
      </c>
    </row>
  </sheetData>
  <phoneticPr fontId="5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8"/>
  <sheetViews>
    <sheetView topLeftCell="A25" workbookViewId="0">
      <selection activeCell="I57" sqref="I57"/>
    </sheetView>
  </sheetViews>
  <sheetFormatPr defaultColWidth="11.42578125" defaultRowHeight="12.75" x14ac:dyDescent="0.2"/>
  <cols>
    <col min="1" max="1" width="24.7109375" style="1" customWidth="1"/>
    <col min="2" max="2" width="10.28515625" style="1" customWidth="1"/>
    <col min="3" max="3" width="11.5703125" style="1" customWidth="1"/>
    <col min="4" max="4" width="13.140625" style="1" customWidth="1"/>
    <col min="5" max="5" width="6.85546875" style="1" customWidth="1"/>
    <col min="6" max="6" width="6.7109375" style="1" customWidth="1"/>
    <col min="7" max="7" width="7.85546875" style="38" customWidth="1"/>
    <col min="8" max="8" width="8.140625" style="38" customWidth="1"/>
    <col min="9" max="9" width="15.5703125" style="4" customWidth="1"/>
    <col min="10" max="10" width="6.7109375" style="6" customWidth="1"/>
    <col min="11" max="11" width="4.7109375" style="6" customWidth="1"/>
    <col min="12" max="12" width="26.42578125" style="6" customWidth="1"/>
    <col min="13" max="13" width="7" style="6" customWidth="1"/>
    <col min="14" max="14" width="5.5703125" style="6" customWidth="1"/>
    <col min="15" max="15" width="9.140625" style="6" customWidth="1"/>
    <col min="16" max="23" width="9.140625" customWidth="1"/>
  </cols>
  <sheetData>
    <row r="1" spans="1:14" x14ac:dyDescent="0.2">
      <c r="A1" s="37"/>
      <c r="B1" s="35" t="s">
        <v>207</v>
      </c>
      <c r="C1" s="37"/>
      <c r="D1"/>
    </row>
    <row r="2" spans="1:14" x14ac:dyDescent="0.2">
      <c r="A2" s="37"/>
      <c r="B2" s="35"/>
      <c r="C2" s="37"/>
      <c r="D2"/>
    </row>
    <row r="3" spans="1:14" x14ac:dyDescent="0.2">
      <c r="A3" s="2" t="s">
        <v>208</v>
      </c>
      <c r="B3" s="2" t="s">
        <v>116</v>
      </c>
      <c r="C3" s="2"/>
    </row>
    <row r="4" spans="1:14" x14ac:dyDescent="0.2">
      <c r="A4" s="35" t="s">
        <v>209</v>
      </c>
      <c r="G4" s="26" t="s">
        <v>210</v>
      </c>
      <c r="I4"/>
      <c r="J4"/>
    </row>
    <row r="5" spans="1:14" x14ac:dyDescent="0.2">
      <c r="A5" s="2" t="s">
        <v>211</v>
      </c>
      <c r="B5" s="2" t="s">
        <v>212</v>
      </c>
      <c r="C5" s="2" t="s">
        <v>213</v>
      </c>
      <c r="D5" s="2" t="s">
        <v>214</v>
      </c>
      <c r="E5" s="2" t="s">
        <v>2</v>
      </c>
      <c r="F5" s="2" t="s">
        <v>2</v>
      </c>
      <c r="G5" s="39" t="s">
        <v>215</v>
      </c>
      <c r="H5" s="39"/>
      <c r="I5"/>
      <c r="J5"/>
    </row>
    <row r="6" spans="1:14" x14ac:dyDescent="0.2">
      <c r="A6" s="2" t="s">
        <v>216</v>
      </c>
      <c r="B6" s="2"/>
      <c r="C6" s="2" t="s">
        <v>217</v>
      </c>
      <c r="D6" s="2" t="s">
        <v>218</v>
      </c>
      <c r="E6" s="2" t="s">
        <v>76</v>
      </c>
      <c r="F6" s="2" t="s">
        <v>219</v>
      </c>
      <c r="G6" s="26" t="s">
        <v>76</v>
      </c>
      <c r="H6" s="26" t="s">
        <v>219</v>
      </c>
      <c r="I6"/>
      <c r="J6"/>
      <c r="K6" s="4"/>
      <c r="L6" s="9"/>
      <c r="N6" s="4"/>
    </row>
    <row r="7" spans="1:14" x14ac:dyDescent="0.2">
      <c r="I7"/>
      <c r="J7"/>
      <c r="K7" s="4"/>
      <c r="L7" s="9"/>
      <c r="N7" s="4"/>
    </row>
    <row r="8" spans="1:14" x14ac:dyDescent="0.2">
      <c r="A8" s="1" t="s">
        <v>116</v>
      </c>
      <c r="B8" s="1" t="s">
        <v>220</v>
      </c>
      <c r="C8" s="1">
        <v>0.5</v>
      </c>
      <c r="D8" s="1">
        <v>30</v>
      </c>
      <c r="E8" s="1">
        <v>12</v>
      </c>
      <c r="F8" s="1">
        <v>10</v>
      </c>
      <c r="G8" s="40">
        <f>D8*C8/(1+(F8)/100)*(E8/100)</f>
        <v>1.636363636363636</v>
      </c>
      <c r="H8" s="40">
        <f>IF(B$29&gt;0,-(D8*C8/(1+(F8/100))-D8*C8),0)</f>
        <v>1.3636363636363651</v>
      </c>
      <c r="I8"/>
      <c r="J8"/>
      <c r="K8" s="4"/>
    </row>
    <row r="9" spans="1:14" x14ac:dyDescent="0.2">
      <c r="A9" s="1" t="s">
        <v>117</v>
      </c>
      <c r="B9" s="1" t="s">
        <v>221</v>
      </c>
      <c r="C9" s="1">
        <v>2</v>
      </c>
      <c r="D9" s="1">
        <v>25</v>
      </c>
      <c r="E9" s="1">
        <v>18</v>
      </c>
      <c r="F9" s="1">
        <v>0</v>
      </c>
      <c r="G9" s="40">
        <f t="shared" ref="G9:G16" si="0">D9*C9/(1+(F9)/100)*(E9/100)</f>
        <v>9</v>
      </c>
      <c r="H9" s="40">
        <f t="shared" ref="H9:H16" si="1">IF(B$29&gt;0,-(D9*C9/(1+(F9/100))-D9*C9),0)</f>
        <v>0</v>
      </c>
      <c r="I9"/>
      <c r="J9"/>
      <c r="K9" s="4"/>
    </row>
    <row r="10" spans="1:14" x14ac:dyDescent="0.2">
      <c r="A10" s="1" t="s">
        <v>118</v>
      </c>
      <c r="B10" s="1" t="s">
        <v>220</v>
      </c>
      <c r="C10" s="1">
        <v>1</v>
      </c>
      <c r="D10" s="1">
        <v>30</v>
      </c>
      <c r="E10" s="1">
        <v>18</v>
      </c>
      <c r="F10" s="1">
        <v>10</v>
      </c>
      <c r="G10" s="40">
        <f t="shared" si="0"/>
        <v>4.9090909090909083</v>
      </c>
      <c r="H10" s="40">
        <f t="shared" si="1"/>
        <v>2.7272727272727302</v>
      </c>
      <c r="I10"/>
      <c r="J10"/>
      <c r="K10" s="4"/>
    </row>
    <row r="11" spans="1:14" x14ac:dyDescent="0.2">
      <c r="A11" s="1" t="s">
        <v>119</v>
      </c>
      <c r="B11" s="1" t="s">
        <v>221</v>
      </c>
      <c r="C11" s="1">
        <v>1</v>
      </c>
      <c r="D11" s="1">
        <v>20</v>
      </c>
      <c r="E11" s="1">
        <v>12</v>
      </c>
      <c r="F11" s="1">
        <v>15</v>
      </c>
      <c r="G11" s="40">
        <f t="shared" si="0"/>
        <v>2.0869565217391308</v>
      </c>
      <c r="H11" s="40">
        <f t="shared" si="1"/>
        <v>2.6086956521739104</v>
      </c>
      <c r="I11"/>
      <c r="J11"/>
      <c r="K11" s="4"/>
    </row>
    <row r="12" spans="1:14" x14ac:dyDescent="0.2">
      <c r="A12" s="1" t="s">
        <v>120</v>
      </c>
      <c r="B12" s="1" t="s">
        <v>220</v>
      </c>
      <c r="C12" s="1">
        <v>0.2</v>
      </c>
      <c r="D12" s="1">
        <v>22</v>
      </c>
      <c r="E12" s="1">
        <v>18</v>
      </c>
      <c r="F12" s="1">
        <v>0</v>
      </c>
      <c r="G12" s="40">
        <f t="shared" si="0"/>
        <v>0.79200000000000004</v>
      </c>
      <c r="H12" s="40">
        <f t="shared" si="1"/>
        <v>0</v>
      </c>
      <c r="I12"/>
      <c r="J12"/>
      <c r="K12" s="4"/>
    </row>
    <row r="13" spans="1:14" x14ac:dyDescent="0.2">
      <c r="A13" s="1" t="s">
        <v>121</v>
      </c>
      <c r="B13" s="1" t="s">
        <v>221</v>
      </c>
      <c r="C13" s="1">
        <v>2</v>
      </c>
      <c r="D13" s="1">
        <v>10</v>
      </c>
      <c r="E13" s="1">
        <v>18</v>
      </c>
      <c r="F13" s="1">
        <v>10</v>
      </c>
      <c r="G13" s="40">
        <f t="shared" si="0"/>
        <v>3.272727272727272</v>
      </c>
      <c r="H13" s="40">
        <f t="shared" si="1"/>
        <v>1.8181818181818201</v>
      </c>
      <c r="I13"/>
      <c r="J13"/>
      <c r="K13" s="4"/>
    </row>
    <row r="14" spans="1:14" x14ac:dyDescent="0.2">
      <c r="A14" s="1" t="s">
        <v>122</v>
      </c>
      <c r="B14" s="1" t="s">
        <v>220</v>
      </c>
      <c r="C14" s="1">
        <v>3</v>
      </c>
      <c r="D14" s="1">
        <v>2</v>
      </c>
      <c r="E14" s="1">
        <v>18</v>
      </c>
      <c r="F14" s="1">
        <v>12</v>
      </c>
      <c r="G14" s="40">
        <f t="shared" si="0"/>
        <v>0.96428571428571419</v>
      </c>
      <c r="H14" s="40">
        <f t="shared" si="1"/>
        <v>0.64285714285714324</v>
      </c>
      <c r="I14"/>
      <c r="J14"/>
      <c r="K14" s="4"/>
    </row>
    <row r="15" spans="1:14" x14ac:dyDescent="0.2">
      <c r="A15" s="1" t="s">
        <v>123</v>
      </c>
      <c r="B15" s="1" t="s">
        <v>221</v>
      </c>
      <c r="C15" s="1">
        <v>2</v>
      </c>
      <c r="D15" s="1">
        <v>3</v>
      </c>
      <c r="E15" s="1">
        <v>12</v>
      </c>
      <c r="F15" s="1">
        <v>10</v>
      </c>
      <c r="G15" s="40">
        <f t="shared" si="0"/>
        <v>0.65454545454545443</v>
      </c>
      <c r="H15" s="40">
        <f t="shared" si="1"/>
        <v>0.54545454545454586</v>
      </c>
      <c r="I15"/>
      <c r="J15"/>
      <c r="K15" s="4"/>
    </row>
    <row r="16" spans="1:14" x14ac:dyDescent="0.2">
      <c r="A16" s="1" t="s">
        <v>124</v>
      </c>
      <c r="B16" s="1" t="s">
        <v>220</v>
      </c>
      <c r="C16" s="1">
        <v>0.2</v>
      </c>
      <c r="D16" s="1">
        <v>4</v>
      </c>
      <c r="E16" s="1">
        <v>18</v>
      </c>
      <c r="F16" s="1">
        <v>10</v>
      </c>
      <c r="G16" s="40">
        <f t="shared" si="0"/>
        <v>0.13090909090909092</v>
      </c>
      <c r="H16" s="40">
        <f t="shared" si="1"/>
        <v>7.2727272727272751E-2</v>
      </c>
      <c r="I16"/>
      <c r="J16"/>
      <c r="K16" s="4"/>
    </row>
    <row r="17" spans="1:13" x14ac:dyDescent="0.2">
      <c r="G17" s="20">
        <f>SUM(G8:G16)</f>
        <v>23.446878599661215</v>
      </c>
      <c r="H17" s="20">
        <f>SUM(H8:H16)</f>
        <v>9.778825522303789</v>
      </c>
      <c r="I17" s="3"/>
      <c r="J17" s="3"/>
      <c r="K17" s="4"/>
      <c r="M17" s="7"/>
    </row>
    <row r="18" spans="1:13" x14ac:dyDescent="0.2">
      <c r="I18" s="3"/>
      <c r="J18" s="3"/>
      <c r="K18" s="4"/>
      <c r="M18" s="7"/>
    </row>
    <row r="19" spans="1:13" x14ac:dyDescent="0.2">
      <c r="A19" s="2" t="s">
        <v>108</v>
      </c>
      <c r="I19" s="3"/>
      <c r="J19" s="3"/>
      <c r="K19" s="4"/>
      <c r="M19" s="7"/>
    </row>
    <row r="20" spans="1:13" x14ac:dyDescent="0.2">
      <c r="A20" s="1" t="s">
        <v>222</v>
      </c>
      <c r="B20" s="1">
        <v>500</v>
      </c>
      <c r="C20"/>
      <c r="I20" s="3"/>
      <c r="J20" s="3"/>
      <c r="K20" s="4"/>
      <c r="M20" s="7"/>
    </row>
    <row r="21" spans="1:13" x14ac:dyDescent="0.2">
      <c r="A21" s="1" t="s">
        <v>223</v>
      </c>
      <c r="B21" s="1">
        <v>60</v>
      </c>
      <c r="C21"/>
      <c r="I21" s="3"/>
      <c r="J21" s="3"/>
      <c r="K21" s="4"/>
      <c r="M21" s="7"/>
    </row>
    <row r="22" spans="1:13" x14ac:dyDescent="0.2">
      <c r="C22"/>
      <c r="I22" s="3"/>
      <c r="J22" s="3"/>
      <c r="K22" s="4"/>
      <c r="M22" s="7"/>
    </row>
    <row r="23" spans="1:13" x14ac:dyDescent="0.2">
      <c r="A23" s="2" t="s">
        <v>224</v>
      </c>
      <c r="B23" s="2" t="s">
        <v>2</v>
      </c>
      <c r="C23"/>
      <c r="I23" s="3"/>
      <c r="J23" s="3"/>
      <c r="K23" s="4"/>
      <c r="M23" s="7"/>
    </row>
    <row r="24" spans="1:13" x14ac:dyDescent="0.2">
      <c r="A24" s="4" t="s">
        <v>76</v>
      </c>
      <c r="B24" s="4">
        <v>18</v>
      </c>
      <c r="C24"/>
      <c r="I24" s="3"/>
      <c r="J24" s="3"/>
      <c r="K24" s="4"/>
      <c r="M24" s="7"/>
    </row>
    <row r="25" spans="1:13" x14ac:dyDescent="0.2">
      <c r="A25" s="4" t="s">
        <v>15</v>
      </c>
      <c r="B25" s="4">
        <v>0.65</v>
      </c>
      <c r="C25"/>
      <c r="I25" s="3"/>
      <c r="J25" s="3"/>
      <c r="K25" s="4"/>
      <c r="M25" s="7"/>
    </row>
    <row r="26" spans="1:13" x14ac:dyDescent="0.2">
      <c r="A26" s="4" t="s">
        <v>16</v>
      </c>
      <c r="B26" s="4">
        <v>3</v>
      </c>
      <c r="C26"/>
      <c r="I26" s="3"/>
      <c r="J26" s="3"/>
      <c r="K26" s="4"/>
      <c r="M26" s="7"/>
    </row>
    <row r="27" spans="1:13" x14ac:dyDescent="0.2">
      <c r="A27" s="4" t="s">
        <v>62</v>
      </c>
      <c r="B27" s="4">
        <v>2</v>
      </c>
      <c r="C27"/>
      <c r="I27" s="3"/>
      <c r="J27" s="3"/>
      <c r="K27" s="4"/>
      <c r="M27" s="7"/>
    </row>
    <row r="28" spans="1:13" x14ac:dyDescent="0.2">
      <c r="A28" s="4" t="s">
        <v>63</v>
      </c>
      <c r="B28" s="4">
        <v>1.08</v>
      </c>
      <c r="C28"/>
      <c r="I28" s="3"/>
      <c r="J28" s="3"/>
      <c r="K28" s="4"/>
      <c r="M28" s="7"/>
    </row>
    <row r="29" spans="1:13" x14ac:dyDescent="0.2">
      <c r="A29" s="1" t="s">
        <v>219</v>
      </c>
      <c r="B29" s="1">
        <v>10</v>
      </c>
      <c r="C29"/>
      <c r="I29" s="3"/>
      <c r="J29" s="3"/>
      <c r="K29" s="4"/>
      <c r="M29" s="7"/>
    </row>
    <row r="30" spans="1:13" x14ac:dyDescent="0.2">
      <c r="A30" s="4"/>
      <c r="B30" s="4"/>
      <c r="C30"/>
      <c r="I30" s="3"/>
      <c r="J30" s="3"/>
      <c r="K30" s="4"/>
      <c r="M30" s="7"/>
    </row>
    <row r="31" spans="1:13" x14ac:dyDescent="0.2">
      <c r="A31" s="4"/>
      <c r="B31" s="4"/>
      <c r="C31"/>
      <c r="I31" s="3"/>
      <c r="J31" s="3"/>
      <c r="K31" s="4"/>
      <c r="M31" s="7"/>
    </row>
    <row r="32" spans="1:13" x14ac:dyDescent="0.2">
      <c r="A32" s="12" t="s">
        <v>225</v>
      </c>
      <c r="B32" s="4">
        <v>2</v>
      </c>
      <c r="C32"/>
      <c r="I32" s="3"/>
      <c r="J32" s="3"/>
      <c r="K32" s="4"/>
      <c r="M32" s="7"/>
    </row>
    <row r="33" spans="1:14" x14ac:dyDescent="0.2">
      <c r="A33" s="2"/>
      <c r="I33" s="3"/>
      <c r="J33" s="3"/>
      <c r="K33" s="4"/>
      <c r="M33" s="7"/>
    </row>
    <row r="34" spans="1:14" ht="13.5" customHeight="1" x14ac:dyDescent="0.2">
      <c r="A34" s="2" t="s">
        <v>17</v>
      </c>
      <c r="B34" s="1">
        <v>1</v>
      </c>
      <c r="C34"/>
      <c r="I34" s="3"/>
      <c r="J34" s="3"/>
      <c r="K34" s="4"/>
      <c r="M34" s="7"/>
    </row>
    <row r="35" spans="1:14" x14ac:dyDescent="0.2">
      <c r="A35" s="2" t="s">
        <v>226</v>
      </c>
      <c r="B35" s="41">
        <f>(B34/100+1)^(1/30)</f>
        <v>1.0003317327062342</v>
      </c>
      <c r="C35"/>
      <c r="I35" s="3"/>
      <c r="J35" s="3"/>
      <c r="K35" s="4"/>
      <c r="M35" s="7"/>
    </row>
    <row r="36" spans="1:14" x14ac:dyDescent="0.2">
      <c r="A36" s="35"/>
      <c r="B36" s="42"/>
      <c r="C36"/>
      <c r="I36" s="3"/>
      <c r="J36" s="3"/>
      <c r="K36" s="4"/>
      <c r="M36" s="7"/>
    </row>
    <row r="37" spans="1:14" x14ac:dyDescent="0.2">
      <c r="J37" s="4"/>
      <c r="K37" s="4"/>
      <c r="M37" s="7"/>
    </row>
    <row r="38" spans="1:14" x14ac:dyDescent="0.2">
      <c r="A38" s="4"/>
      <c r="B38" s="10" t="s">
        <v>57</v>
      </c>
      <c r="C38" s="10" t="s">
        <v>58</v>
      </c>
      <c r="D38" s="10" t="s">
        <v>59</v>
      </c>
      <c r="E38"/>
      <c r="J38" s="4"/>
      <c r="K38" s="4"/>
      <c r="N38" s="4"/>
    </row>
    <row r="39" spans="1:14" x14ac:dyDescent="0.2">
      <c r="A39" s="4" t="s">
        <v>227</v>
      </c>
      <c r="B39" s="43">
        <f>B20</f>
        <v>500</v>
      </c>
      <c r="C39" s="11">
        <f>B21</f>
        <v>60</v>
      </c>
      <c r="D39" s="43">
        <f>B39/($B$35^C39)</f>
        <v>490.1480247034595</v>
      </c>
      <c r="E39"/>
      <c r="I39"/>
      <c r="J39"/>
      <c r="K39"/>
      <c r="L39"/>
      <c r="M39"/>
      <c r="N39" s="4"/>
    </row>
    <row r="40" spans="1:14" x14ac:dyDescent="0.2">
      <c r="A40" s="4" t="s">
        <v>116</v>
      </c>
      <c r="B40" s="43">
        <f>-D8*C8</f>
        <v>-15</v>
      </c>
      <c r="C40" s="11">
        <v>30</v>
      </c>
      <c r="D40" s="43">
        <f t="shared" ref="D40:D57" si="2">B40/($B$35^C40)</f>
        <v>-14.851485148514834</v>
      </c>
      <c r="E40"/>
      <c r="I40"/>
      <c r="J40"/>
      <c r="K40"/>
      <c r="L40"/>
      <c r="M40"/>
      <c r="N40" s="4"/>
    </row>
    <row r="41" spans="1:14" x14ac:dyDescent="0.2">
      <c r="A41" s="4" t="s">
        <v>117</v>
      </c>
      <c r="B41" s="43">
        <f t="shared" ref="B41:B48" si="3">-D9*C9</f>
        <v>-50</v>
      </c>
      <c r="C41" s="11">
        <v>30</v>
      </c>
      <c r="D41" s="43">
        <f t="shared" si="2"/>
        <v>-49.504950495049449</v>
      </c>
      <c r="E41"/>
      <c r="I41"/>
      <c r="J41"/>
      <c r="K41"/>
      <c r="L41"/>
      <c r="M41"/>
      <c r="N41" s="4"/>
    </row>
    <row r="42" spans="1:14" x14ac:dyDescent="0.2">
      <c r="A42" s="4" t="s">
        <v>118</v>
      </c>
      <c r="B42" s="43">
        <f t="shared" si="3"/>
        <v>-30</v>
      </c>
      <c r="C42" s="11">
        <v>30</v>
      </c>
      <c r="D42" s="43">
        <f t="shared" si="2"/>
        <v>-29.702970297029669</v>
      </c>
      <c r="E42"/>
      <c r="I42"/>
      <c r="J42"/>
      <c r="K42"/>
      <c r="L42"/>
      <c r="M42"/>
      <c r="N42" s="4"/>
    </row>
    <row r="43" spans="1:14" x14ac:dyDescent="0.2">
      <c r="A43" s="4" t="s">
        <v>119</v>
      </c>
      <c r="B43" s="43">
        <f t="shared" si="3"/>
        <v>-20</v>
      </c>
      <c r="C43" s="11">
        <v>30</v>
      </c>
      <c r="D43" s="43">
        <f t="shared" si="2"/>
        <v>-19.80198019801978</v>
      </c>
      <c r="E43"/>
      <c r="I43"/>
      <c r="J43"/>
      <c r="K43"/>
      <c r="L43"/>
      <c r="M43"/>
      <c r="N43" s="4"/>
    </row>
    <row r="44" spans="1:14" x14ac:dyDescent="0.2">
      <c r="A44" s="4" t="s">
        <v>120</v>
      </c>
      <c r="B44" s="43">
        <f t="shared" si="3"/>
        <v>-4.4000000000000004</v>
      </c>
      <c r="C44" s="11">
        <v>30</v>
      </c>
      <c r="D44" s="43">
        <f t="shared" si="2"/>
        <v>-4.3564356435643523</v>
      </c>
      <c r="E44"/>
      <c r="I44"/>
      <c r="J44"/>
      <c r="K44"/>
      <c r="L44"/>
      <c r="M44"/>
      <c r="N44" s="4"/>
    </row>
    <row r="45" spans="1:14" x14ac:dyDescent="0.2">
      <c r="A45" s="4" t="s">
        <v>121</v>
      </c>
      <c r="B45" s="43">
        <f t="shared" si="3"/>
        <v>-20</v>
      </c>
      <c r="C45" s="11">
        <v>30</v>
      </c>
      <c r="D45" s="43">
        <f t="shared" si="2"/>
        <v>-19.80198019801978</v>
      </c>
      <c r="E45"/>
      <c r="I45"/>
      <c r="J45"/>
      <c r="K45"/>
      <c r="L45"/>
      <c r="M45"/>
      <c r="N45" s="4"/>
    </row>
    <row r="46" spans="1:14" x14ac:dyDescent="0.2">
      <c r="A46" s="4" t="s">
        <v>122</v>
      </c>
      <c r="B46" s="43">
        <f t="shared" si="3"/>
        <v>-6</v>
      </c>
      <c r="C46" s="11">
        <v>30</v>
      </c>
      <c r="D46" s="43">
        <f t="shared" si="2"/>
        <v>-5.9405940594059343</v>
      </c>
      <c r="E46"/>
      <c r="I46"/>
      <c r="J46"/>
      <c r="K46"/>
      <c r="L46"/>
      <c r="M46"/>
      <c r="N46" s="4"/>
    </row>
    <row r="47" spans="1:14" x14ac:dyDescent="0.2">
      <c r="A47" s="4" t="s">
        <v>123</v>
      </c>
      <c r="B47" s="43">
        <f t="shared" si="3"/>
        <v>-6</v>
      </c>
      <c r="C47" s="11">
        <v>30</v>
      </c>
      <c r="D47" s="43">
        <f t="shared" si="2"/>
        <v>-5.9405940594059343</v>
      </c>
      <c r="E47"/>
      <c r="I47"/>
      <c r="J47"/>
      <c r="K47"/>
      <c r="L47"/>
      <c r="M47"/>
      <c r="N47" s="4"/>
    </row>
    <row r="48" spans="1:14" x14ac:dyDescent="0.2">
      <c r="A48" s="4" t="s">
        <v>124</v>
      </c>
      <c r="B48" s="43">
        <f t="shared" si="3"/>
        <v>-0.8</v>
      </c>
      <c r="C48" s="11">
        <v>30</v>
      </c>
      <c r="D48" s="43">
        <f t="shared" si="2"/>
        <v>-0.79207920792079123</v>
      </c>
      <c r="E48"/>
      <c r="I48"/>
      <c r="J48"/>
      <c r="K48"/>
      <c r="L48"/>
      <c r="M48"/>
      <c r="N48" s="4"/>
    </row>
    <row r="49" spans="1:14" x14ac:dyDescent="0.2">
      <c r="A49" s="4" t="s">
        <v>10</v>
      </c>
      <c r="B49" s="43">
        <f>-B20*(B32/100)</f>
        <v>-10</v>
      </c>
      <c r="C49" s="44"/>
      <c r="D49" s="43">
        <f t="shared" si="2"/>
        <v>-10</v>
      </c>
      <c r="E49"/>
      <c r="I49"/>
      <c r="J49"/>
      <c r="K49"/>
      <c r="L49"/>
      <c r="M49"/>
      <c r="N49" s="4"/>
    </row>
    <row r="50" spans="1:14" x14ac:dyDescent="0.2">
      <c r="A50" s="4" t="s">
        <v>228</v>
      </c>
      <c r="B50" s="43">
        <f>-'[1]tabela 4.6'!B31</f>
        <v>-7.4331752717391302</v>
      </c>
      <c r="C50" s="44"/>
      <c r="D50" s="43">
        <f t="shared" si="2"/>
        <v>-7.4331752717391302</v>
      </c>
      <c r="E50"/>
      <c r="I50"/>
      <c r="J50"/>
      <c r="K50"/>
      <c r="L50"/>
      <c r="M50"/>
      <c r="N50" s="4"/>
    </row>
    <row r="51" spans="1:14" x14ac:dyDescent="0.2">
      <c r="A51" s="4" t="s">
        <v>229</v>
      </c>
      <c r="B51" s="43">
        <f>G17</f>
        <v>23.446878599661215</v>
      </c>
      <c r="C51" s="44"/>
      <c r="D51" s="43">
        <f t="shared" si="2"/>
        <v>23.446878599661215</v>
      </c>
      <c r="E51"/>
      <c r="I51"/>
      <c r="J51"/>
      <c r="K51"/>
      <c r="L51"/>
      <c r="M51"/>
      <c r="N51" s="4"/>
    </row>
    <row r="52" spans="1:14" x14ac:dyDescent="0.2">
      <c r="A52" s="4" t="s">
        <v>84</v>
      </c>
      <c r="B52" s="43">
        <f>-B20*(B24/100)</f>
        <v>-90</v>
      </c>
      <c r="C52" s="44"/>
      <c r="D52" s="43">
        <f t="shared" si="2"/>
        <v>-90</v>
      </c>
      <c r="E52"/>
      <c r="I52"/>
      <c r="J52"/>
      <c r="K52"/>
      <c r="L52"/>
      <c r="M52"/>
      <c r="N52" s="4"/>
    </row>
    <row r="53" spans="1:14" x14ac:dyDescent="0.2">
      <c r="A53" s="4" t="s">
        <v>230</v>
      </c>
      <c r="B53" s="43">
        <f>IF(B30&gt;0,0,H17)</f>
        <v>9.778825522303789</v>
      </c>
      <c r="C53" s="44"/>
      <c r="D53" s="43">
        <f t="shared" si="2"/>
        <v>9.778825522303789</v>
      </c>
      <c r="E53"/>
      <c r="I53"/>
      <c r="J53"/>
      <c r="K53"/>
      <c r="L53"/>
      <c r="M53"/>
      <c r="N53" s="4"/>
    </row>
    <row r="54" spans="1:14" x14ac:dyDescent="0.2">
      <c r="A54" s="4" t="s">
        <v>15</v>
      </c>
      <c r="B54" s="43">
        <f>IF(B30&gt;0,0,-B20*B25/100)</f>
        <v>-3.25</v>
      </c>
      <c r="C54" s="44"/>
      <c r="D54" s="43">
        <f t="shared" si="2"/>
        <v>-3.25</v>
      </c>
      <c r="E54"/>
      <c r="I54"/>
      <c r="J54"/>
      <c r="K54"/>
      <c r="L54"/>
      <c r="M54"/>
      <c r="N54" s="4"/>
    </row>
    <row r="55" spans="1:14" x14ac:dyDescent="0.2">
      <c r="A55" s="4" t="s">
        <v>16</v>
      </c>
      <c r="B55" s="43">
        <f>IF(B30&gt;0,0,-B20*B26/100)</f>
        <v>-15</v>
      </c>
      <c r="C55" s="44"/>
      <c r="D55" s="43">
        <f t="shared" si="2"/>
        <v>-15</v>
      </c>
      <c r="E55"/>
      <c r="I55"/>
      <c r="J55"/>
      <c r="K55"/>
      <c r="L55"/>
      <c r="M55"/>
      <c r="N55" s="4"/>
    </row>
    <row r="56" spans="1:14" x14ac:dyDescent="0.2">
      <c r="A56" s="4" t="s">
        <v>62</v>
      </c>
      <c r="B56" s="43">
        <f>IF(B30&gt;0,0,-B20*B27/100)</f>
        <v>-10</v>
      </c>
      <c r="C56" s="44"/>
      <c r="D56" s="43">
        <f t="shared" si="2"/>
        <v>-10</v>
      </c>
      <c r="E56"/>
      <c r="I56"/>
      <c r="J56"/>
      <c r="K56"/>
      <c r="L56"/>
      <c r="M56"/>
      <c r="N56" s="4"/>
    </row>
    <row r="57" spans="1:14" x14ac:dyDescent="0.2">
      <c r="A57" s="4" t="s">
        <v>107</v>
      </c>
      <c r="B57" s="43">
        <f>IF(B30&gt;0,0,-B20*B28/100)</f>
        <v>-5.4</v>
      </c>
      <c r="C57" s="44"/>
      <c r="D57" s="43">
        <f t="shared" si="2"/>
        <v>-5.4</v>
      </c>
      <c r="E57"/>
      <c r="I57"/>
      <c r="J57"/>
      <c r="K57"/>
      <c r="L57"/>
      <c r="M57"/>
      <c r="N57" s="4"/>
    </row>
    <row r="58" spans="1:14" x14ac:dyDescent="0.2">
      <c r="A58" s="12" t="s">
        <v>64</v>
      </c>
      <c r="B58" s="45">
        <f>SUM(B39:B57)</f>
        <v>239.9425288502259</v>
      </c>
      <c r="C58" s="46"/>
      <c r="D58" s="45">
        <f>SUM(D39:D57)</f>
        <v>231.59748424675482</v>
      </c>
      <c r="E58"/>
      <c r="I58"/>
      <c r="J58"/>
      <c r="K58"/>
      <c r="L58"/>
      <c r="M58"/>
      <c r="N58" s="4"/>
    </row>
    <row r="59" spans="1:14" x14ac:dyDescent="0.2">
      <c r="A59" s="12"/>
      <c r="B59" s="45"/>
      <c r="C59" s="46"/>
      <c r="D59" s="45"/>
      <c r="E59"/>
      <c r="I59"/>
      <c r="J59"/>
      <c r="K59"/>
      <c r="L59"/>
      <c r="M59"/>
      <c r="N59" s="4"/>
    </row>
    <row r="60" spans="1:14" x14ac:dyDescent="0.2">
      <c r="A60" s="12" t="s">
        <v>65</v>
      </c>
      <c r="B60" s="45">
        <f>(B58/B39)*100</f>
        <v>47.98850577004518</v>
      </c>
      <c r="C60" s="46"/>
      <c r="D60" s="45">
        <f>(D58/D39)*100</f>
        <v>47.250518736023011</v>
      </c>
      <c r="E60"/>
      <c r="I60"/>
      <c r="J60"/>
      <c r="K60"/>
      <c r="L60"/>
      <c r="M60"/>
      <c r="N60" s="4"/>
    </row>
    <row r="61" spans="1:14" x14ac:dyDescent="0.2">
      <c r="E61"/>
      <c r="I61"/>
      <c r="J61"/>
      <c r="K61"/>
      <c r="L61"/>
      <c r="M61"/>
      <c r="N61" s="4"/>
    </row>
    <row r="62" spans="1:14" x14ac:dyDescent="0.2">
      <c r="J62" s="5"/>
      <c r="K62" s="5"/>
      <c r="L62" s="5"/>
      <c r="M62" s="5"/>
      <c r="N62" s="4"/>
    </row>
    <row r="63" spans="1:14" x14ac:dyDescent="0.2">
      <c r="I63" s="10"/>
      <c r="J63" s="5"/>
      <c r="K63" s="5"/>
      <c r="L63" s="5"/>
      <c r="M63" s="5"/>
      <c r="N63" s="4"/>
    </row>
    <row r="64" spans="1:14" x14ac:dyDescent="0.2">
      <c r="J64" s="5"/>
      <c r="K64" s="4"/>
      <c r="L64" s="4"/>
      <c r="M64" s="5"/>
      <c r="N64" s="4"/>
    </row>
    <row r="65" spans="9:14" x14ac:dyDescent="0.2">
      <c r="J65" s="5"/>
      <c r="K65" s="4"/>
      <c r="L65" s="4"/>
      <c r="M65" s="5"/>
      <c r="N65" s="4"/>
    </row>
    <row r="66" spans="9:14" x14ac:dyDescent="0.2">
      <c r="J66" s="5"/>
      <c r="K66" s="4"/>
      <c r="L66" s="4"/>
      <c r="M66" s="5"/>
      <c r="N66" s="4"/>
    </row>
    <row r="67" spans="9:14" x14ac:dyDescent="0.2">
      <c r="J67" s="5"/>
      <c r="K67" s="4"/>
      <c r="L67" s="4"/>
      <c r="M67" s="5"/>
      <c r="N67" s="4"/>
    </row>
    <row r="68" spans="9:14" x14ac:dyDescent="0.2">
      <c r="J68" s="5"/>
      <c r="K68" s="4"/>
      <c r="L68" s="4"/>
      <c r="M68" s="5"/>
      <c r="N68" s="4"/>
    </row>
    <row r="69" spans="9:14" x14ac:dyDescent="0.2">
      <c r="J69" s="5"/>
      <c r="K69" s="4"/>
      <c r="L69" s="4"/>
      <c r="M69" s="5"/>
      <c r="N69" s="4"/>
    </row>
    <row r="70" spans="9:14" x14ac:dyDescent="0.2">
      <c r="J70" s="5"/>
      <c r="K70" s="4"/>
      <c r="L70" s="4"/>
      <c r="M70" s="5"/>
      <c r="N70" s="4"/>
    </row>
    <row r="71" spans="9:14" x14ac:dyDescent="0.2">
      <c r="J71" s="5"/>
      <c r="K71" s="4"/>
      <c r="L71" s="4"/>
      <c r="M71" s="5"/>
      <c r="N71" s="4"/>
    </row>
    <row r="72" spans="9:14" x14ac:dyDescent="0.2">
      <c r="J72" s="5"/>
      <c r="K72" s="4"/>
      <c r="L72" s="4"/>
      <c r="M72" s="5"/>
      <c r="N72" s="4"/>
    </row>
    <row r="73" spans="9:14" x14ac:dyDescent="0.2">
      <c r="J73" s="5"/>
      <c r="K73" s="4"/>
      <c r="L73" s="4"/>
      <c r="M73" s="5"/>
      <c r="N73" s="4"/>
    </row>
    <row r="74" spans="9:14" x14ac:dyDescent="0.2">
      <c r="J74" s="5"/>
      <c r="K74" s="4"/>
      <c r="L74" s="4"/>
      <c r="M74" s="5"/>
      <c r="N74" s="4"/>
    </row>
    <row r="75" spans="9:14" x14ac:dyDescent="0.2">
      <c r="I75" s="12"/>
      <c r="J75" s="5"/>
      <c r="K75" s="4"/>
      <c r="L75" s="4"/>
      <c r="M75" s="5"/>
      <c r="N75" s="4"/>
    </row>
    <row r="76" spans="9:14" x14ac:dyDescent="0.2">
      <c r="J76" s="5"/>
      <c r="K76" s="4"/>
      <c r="L76" s="4"/>
      <c r="M76" s="5"/>
      <c r="N76" s="4"/>
    </row>
    <row r="77" spans="9:14" x14ac:dyDescent="0.2">
      <c r="J77" s="5"/>
      <c r="K77" s="4"/>
      <c r="L77" s="4"/>
      <c r="M77" s="5"/>
      <c r="N77" s="4"/>
    </row>
    <row r="78" spans="9:14" x14ac:dyDescent="0.2">
      <c r="J78" s="5"/>
      <c r="K78" s="4"/>
      <c r="L78" s="4"/>
      <c r="M78" s="5"/>
      <c r="N78" s="4"/>
    </row>
    <row r="79" spans="9:14" x14ac:dyDescent="0.2">
      <c r="J79" s="5"/>
      <c r="K79" s="4"/>
      <c r="L79" s="4"/>
      <c r="M79" s="5"/>
      <c r="N79" s="4"/>
    </row>
    <row r="80" spans="9:14" x14ac:dyDescent="0.2">
      <c r="J80" s="5"/>
      <c r="K80" s="4"/>
      <c r="L80" s="4"/>
      <c r="M80" s="5"/>
      <c r="N80" s="4"/>
    </row>
    <row r="81" spans="10:14" x14ac:dyDescent="0.2">
      <c r="J81" s="5"/>
      <c r="K81" s="4"/>
      <c r="L81" s="4"/>
      <c r="M81" s="5"/>
      <c r="N81" s="4"/>
    </row>
    <row r="82" spans="10:14" x14ac:dyDescent="0.2">
      <c r="J82" s="5"/>
      <c r="K82" s="4"/>
      <c r="L82" s="4"/>
      <c r="M82" s="5"/>
      <c r="N82" s="4"/>
    </row>
    <row r="83" spans="10:14" x14ac:dyDescent="0.2">
      <c r="J83" s="5"/>
      <c r="K83" s="4"/>
      <c r="L83" s="4"/>
      <c r="M83" s="5"/>
      <c r="N83" s="4"/>
    </row>
    <row r="84" spans="10:14" x14ac:dyDescent="0.2">
      <c r="J84" s="5"/>
      <c r="K84" s="4"/>
    </row>
    <row r="85" spans="10:14" x14ac:dyDescent="0.2">
      <c r="J85" s="5"/>
      <c r="K85" s="4"/>
    </row>
    <row r="86" spans="10:14" x14ac:dyDescent="0.2">
      <c r="J86" s="5"/>
      <c r="K86" s="4"/>
    </row>
    <row r="87" spans="10:14" x14ac:dyDescent="0.2">
      <c r="J87" s="5"/>
      <c r="K87" s="4"/>
    </row>
    <row r="88" spans="10:14" x14ac:dyDescent="0.2">
      <c r="J88" s="5"/>
      <c r="K88" s="4"/>
    </row>
    <row r="89" spans="10:14" x14ac:dyDescent="0.2">
      <c r="J89" s="5"/>
      <c r="K89" s="4"/>
    </row>
    <row r="90" spans="10:14" x14ac:dyDescent="0.2">
      <c r="J90" s="5"/>
      <c r="K90" s="4"/>
    </row>
    <row r="91" spans="10:14" x14ac:dyDescent="0.2">
      <c r="J91" s="5"/>
      <c r="K91" s="4"/>
    </row>
    <row r="92" spans="10:14" x14ac:dyDescent="0.2">
      <c r="J92" s="5"/>
      <c r="K92" s="4"/>
    </row>
    <row r="93" spans="10:14" x14ac:dyDescent="0.2">
      <c r="J93" s="5"/>
      <c r="K93" s="4"/>
    </row>
    <row r="94" spans="10:14" x14ac:dyDescent="0.2">
      <c r="J94" s="5"/>
      <c r="K94" s="4"/>
    </row>
    <row r="95" spans="10:14" x14ac:dyDescent="0.2">
      <c r="J95" s="5"/>
      <c r="K95" s="4"/>
    </row>
    <row r="96" spans="10:14" x14ac:dyDescent="0.2">
      <c r="J96" s="5"/>
      <c r="K96" s="4"/>
    </row>
    <row r="97" spans="10:11" x14ac:dyDescent="0.2">
      <c r="J97" s="5"/>
      <c r="K97" s="4"/>
    </row>
    <row r="98" spans="10:11" x14ac:dyDescent="0.2">
      <c r="J98" s="5"/>
      <c r="K98" s="4"/>
    </row>
    <row r="99" spans="10:11" x14ac:dyDescent="0.2">
      <c r="J99" s="5"/>
      <c r="K99" s="4"/>
    </row>
    <row r="100" spans="10:11" x14ac:dyDescent="0.2">
      <c r="J100" s="5"/>
      <c r="K100" s="4"/>
    </row>
    <row r="101" spans="10:11" x14ac:dyDescent="0.2">
      <c r="J101" s="5"/>
      <c r="K101" s="4"/>
    </row>
    <row r="102" spans="10:11" x14ac:dyDescent="0.2">
      <c r="J102" s="5"/>
      <c r="K102" s="4"/>
    </row>
    <row r="103" spans="10:11" x14ac:dyDescent="0.2">
      <c r="J103" s="5"/>
      <c r="K103" s="4"/>
    </row>
    <row r="104" spans="10:11" x14ac:dyDescent="0.2">
      <c r="J104" s="5"/>
      <c r="K104" s="4"/>
    </row>
    <row r="105" spans="10:11" x14ac:dyDescent="0.2">
      <c r="J105" s="5"/>
      <c r="K105" s="4"/>
    </row>
    <row r="106" spans="10:11" x14ac:dyDescent="0.2">
      <c r="J106" s="5"/>
      <c r="K106" s="4"/>
    </row>
    <row r="107" spans="10:11" x14ac:dyDescent="0.2">
      <c r="J107" s="5"/>
      <c r="K107" s="4"/>
    </row>
    <row r="108" spans="10:11" x14ac:dyDescent="0.2">
      <c r="J108" s="5"/>
      <c r="K108" s="4"/>
    </row>
    <row r="109" spans="10:11" x14ac:dyDescent="0.2">
      <c r="J109" s="5"/>
      <c r="K109" s="4"/>
    </row>
    <row r="110" spans="10:11" x14ac:dyDescent="0.2">
      <c r="J110" s="5"/>
      <c r="K110" s="4"/>
    </row>
    <row r="111" spans="10:11" x14ac:dyDescent="0.2">
      <c r="J111" s="5"/>
      <c r="K111" s="4"/>
    </row>
    <row r="112" spans="10:11" x14ac:dyDescent="0.2">
      <c r="J112" s="5"/>
      <c r="K112" s="4"/>
    </row>
    <row r="113" spans="10:10" x14ac:dyDescent="0.2">
      <c r="J113" s="7"/>
    </row>
    <row r="114" spans="10:10" x14ac:dyDescent="0.2">
      <c r="J114" s="7"/>
    </row>
    <row r="115" spans="10:10" x14ac:dyDescent="0.2">
      <c r="J115" s="7"/>
    </row>
    <row r="116" spans="10:10" x14ac:dyDescent="0.2">
      <c r="J116" s="7"/>
    </row>
    <row r="117" spans="10:10" x14ac:dyDescent="0.2">
      <c r="J117" s="7"/>
    </row>
    <row r="118" spans="10:10" x14ac:dyDescent="0.2">
      <c r="J118" s="7"/>
    </row>
    <row r="119" spans="10:10" x14ac:dyDescent="0.2">
      <c r="J119" s="7"/>
    </row>
    <row r="120" spans="10:10" x14ac:dyDescent="0.2">
      <c r="J120" s="7"/>
    </row>
    <row r="121" spans="10:10" x14ac:dyDescent="0.2">
      <c r="J121" s="7"/>
    </row>
    <row r="122" spans="10:10" x14ac:dyDescent="0.2">
      <c r="J122" s="7"/>
    </row>
    <row r="123" spans="10:10" x14ac:dyDescent="0.2">
      <c r="J123" s="7"/>
    </row>
    <row r="124" spans="10:10" x14ac:dyDescent="0.2">
      <c r="J124" s="7"/>
    </row>
    <row r="125" spans="10:10" x14ac:dyDescent="0.2">
      <c r="J125" s="7"/>
    </row>
    <row r="126" spans="10:10" x14ac:dyDescent="0.2">
      <c r="J126" s="7"/>
    </row>
    <row r="127" spans="10:10" x14ac:dyDescent="0.2">
      <c r="J127" s="7"/>
    </row>
    <row r="128" spans="10:10" x14ac:dyDescent="0.2">
      <c r="J128" s="7"/>
    </row>
    <row r="129" spans="10:10" x14ac:dyDescent="0.2">
      <c r="J129" s="7"/>
    </row>
    <row r="130" spans="10:10" x14ac:dyDescent="0.2">
      <c r="J130" s="7"/>
    </row>
    <row r="131" spans="10:10" x14ac:dyDescent="0.2">
      <c r="J131" s="7"/>
    </row>
    <row r="132" spans="10:10" x14ac:dyDescent="0.2">
      <c r="J132" s="7"/>
    </row>
    <row r="133" spans="10:10" x14ac:dyDescent="0.2">
      <c r="J133" s="7"/>
    </row>
    <row r="134" spans="10:10" x14ac:dyDescent="0.2">
      <c r="J134" s="7"/>
    </row>
    <row r="135" spans="10:10" x14ac:dyDescent="0.2">
      <c r="J135" s="7"/>
    </row>
    <row r="136" spans="10:10" x14ac:dyDescent="0.2">
      <c r="J136" s="7"/>
    </row>
    <row r="137" spans="10:10" x14ac:dyDescent="0.2">
      <c r="J137" s="7"/>
    </row>
    <row r="138" spans="10:10" x14ac:dyDescent="0.2">
      <c r="J138" s="7"/>
    </row>
    <row r="139" spans="10:10" x14ac:dyDescent="0.2">
      <c r="J139" s="7"/>
    </row>
    <row r="140" spans="10:10" x14ac:dyDescent="0.2">
      <c r="J140" s="7"/>
    </row>
    <row r="141" spans="10:10" x14ac:dyDescent="0.2">
      <c r="J141" s="7"/>
    </row>
    <row r="142" spans="10:10" x14ac:dyDescent="0.2">
      <c r="J142" s="7"/>
    </row>
    <row r="143" spans="10:10" x14ac:dyDescent="0.2">
      <c r="J143" s="7"/>
    </row>
    <row r="144" spans="10:10" x14ac:dyDescent="0.2">
      <c r="J144" s="7"/>
    </row>
    <row r="145" spans="10:10" x14ac:dyDescent="0.2">
      <c r="J145" s="7"/>
    </row>
    <row r="146" spans="10:10" x14ac:dyDescent="0.2">
      <c r="J146" s="7"/>
    </row>
    <row r="147" spans="10:10" x14ac:dyDescent="0.2">
      <c r="J147" s="7"/>
    </row>
    <row r="148" spans="10:10" x14ac:dyDescent="0.2">
      <c r="J148" s="7"/>
    </row>
    <row r="149" spans="10:10" x14ac:dyDescent="0.2">
      <c r="J149" s="7"/>
    </row>
    <row r="150" spans="10:10" x14ac:dyDescent="0.2">
      <c r="J150" s="7"/>
    </row>
    <row r="151" spans="10:10" x14ac:dyDescent="0.2">
      <c r="J151" s="7"/>
    </row>
    <row r="152" spans="10:10" x14ac:dyDescent="0.2">
      <c r="J152" s="7"/>
    </row>
    <row r="153" spans="10:10" x14ac:dyDescent="0.2">
      <c r="J153" s="7"/>
    </row>
    <row r="154" spans="10:10" x14ac:dyDescent="0.2">
      <c r="J154" s="7"/>
    </row>
    <row r="155" spans="10:10" x14ac:dyDescent="0.2">
      <c r="J155" s="7"/>
    </row>
    <row r="156" spans="10:10" x14ac:dyDescent="0.2">
      <c r="J156" s="7"/>
    </row>
    <row r="157" spans="10:10" x14ac:dyDescent="0.2">
      <c r="J157" s="7"/>
    </row>
    <row r="158" spans="10:10" x14ac:dyDescent="0.2">
      <c r="J158" s="7"/>
    </row>
    <row r="159" spans="10:10" x14ac:dyDescent="0.2">
      <c r="J159" s="7"/>
    </row>
    <row r="160" spans="10:10" x14ac:dyDescent="0.2">
      <c r="J160" s="7"/>
    </row>
    <row r="161" spans="10:10" x14ac:dyDescent="0.2">
      <c r="J161" s="7"/>
    </row>
    <row r="162" spans="10:10" x14ac:dyDescent="0.2">
      <c r="J162" s="7"/>
    </row>
    <row r="163" spans="10:10" x14ac:dyDescent="0.2">
      <c r="J163" s="7"/>
    </row>
    <row r="164" spans="10:10" x14ac:dyDescent="0.2">
      <c r="J164" s="7"/>
    </row>
    <row r="165" spans="10:10" x14ac:dyDescent="0.2">
      <c r="J165" s="7"/>
    </row>
    <row r="166" spans="10:10" x14ac:dyDescent="0.2">
      <c r="J166" s="7"/>
    </row>
    <row r="167" spans="10:10" x14ac:dyDescent="0.2">
      <c r="J167" s="7"/>
    </row>
    <row r="168" spans="10:10" x14ac:dyDescent="0.2">
      <c r="J168" s="7"/>
    </row>
  </sheetData>
  <phoneticPr fontId="5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sqref="A1:G22"/>
    </sheetView>
  </sheetViews>
  <sheetFormatPr defaultColWidth="11.42578125" defaultRowHeight="12.75" x14ac:dyDescent="0.2"/>
  <cols>
    <col min="1" max="1" width="27.5703125" style="49" customWidth="1"/>
    <col min="2" max="2" width="11.42578125" style="77" customWidth="1"/>
    <col min="3" max="3" width="7.28515625" style="49" customWidth="1"/>
    <col min="4" max="4" width="6.7109375" style="49" customWidth="1"/>
    <col min="5" max="5" width="11.42578125" style="49" customWidth="1"/>
    <col min="6" max="6" width="7.28515625" style="49" customWidth="1"/>
    <col min="7" max="16384" width="11.42578125" style="50"/>
  </cols>
  <sheetData>
    <row r="1" spans="1:6" x14ac:dyDescent="0.2">
      <c r="A1" s="17" t="s">
        <v>236</v>
      </c>
      <c r="B1" s="17"/>
    </row>
    <row r="2" spans="1:6" x14ac:dyDescent="0.2">
      <c r="A2" s="10"/>
      <c r="B2" s="10" t="s">
        <v>109</v>
      </c>
      <c r="C2" s="10"/>
      <c r="F2" s="10" t="s">
        <v>110</v>
      </c>
    </row>
    <row r="3" spans="1:6" x14ac:dyDescent="0.2">
      <c r="A3" s="10" t="s">
        <v>111</v>
      </c>
      <c r="C3" s="75">
        <v>300</v>
      </c>
      <c r="D3" s="75"/>
      <c r="E3" s="75"/>
      <c r="F3" s="69">
        <f>C3*((100-F22)/100)</f>
        <v>240</v>
      </c>
    </row>
    <row r="4" spans="1:6" x14ac:dyDescent="0.2">
      <c r="A4" s="17" t="s">
        <v>112</v>
      </c>
      <c r="C4" s="69">
        <f>((C3)*((100-C22)/100))/((C6*B6/10000)+((C7*B7/10000)+((C8*B8/10000)+((C9*B9/10000)+((C10*B10/10000)+((C11*B11/10000)+((C12*B12/10000))+((C13*B13/10000))+((C14*B14/10000))+((C15*B15/10000))+(C16*B16/10000))+((C17*B17/10000))+((C18*B18/10000))+((C19*B19/10000)))))))</f>
        <v>1555.6054657977729</v>
      </c>
      <c r="D4" s="75"/>
      <c r="E4" s="75"/>
      <c r="F4" s="69">
        <f>((F3)*((100-F22)/100))/((F6*E6/10000)+((F7*E7/10000)+((F8*E8/10000)+((F9*E9/10000)+((F10*E10/10000)+((F11*E11/10000)+((F12*E12/10000))+((F13*E13/10000))+((F14*E14/10000))+((F15*E15/10000))+(F16*E16/10000))+((F17*E17/10000))+((F18*E18/10000))+((F19*E19/10000)))))))</f>
        <v>995.58749811057464</v>
      </c>
    </row>
    <row r="5" spans="1:6" x14ac:dyDescent="0.2">
      <c r="A5" s="49" t="s">
        <v>113</v>
      </c>
      <c r="B5" s="17" t="s">
        <v>114</v>
      </c>
      <c r="C5" s="21" t="s">
        <v>115</v>
      </c>
      <c r="D5" s="75"/>
      <c r="E5" s="17" t="s">
        <v>114</v>
      </c>
      <c r="F5" s="21" t="s">
        <v>115</v>
      </c>
    </row>
    <row r="6" spans="1:6" x14ac:dyDescent="0.2">
      <c r="A6" s="49" t="s">
        <v>116</v>
      </c>
      <c r="B6" s="75">
        <f>(6699/12144)*100</f>
        <v>55.163043478260867</v>
      </c>
      <c r="C6" s="75">
        <v>18</v>
      </c>
      <c r="D6" s="75"/>
      <c r="E6" s="75">
        <f>(6699/12144)*100</f>
        <v>55.163043478260867</v>
      </c>
      <c r="F6" s="75">
        <v>18</v>
      </c>
    </row>
    <row r="7" spans="1:6" x14ac:dyDescent="0.2">
      <c r="A7" s="49" t="s">
        <v>117</v>
      </c>
      <c r="B7" s="75">
        <f>(748/12144)*100</f>
        <v>6.1594202898550732</v>
      </c>
      <c r="C7" s="75">
        <v>22</v>
      </c>
      <c r="D7" s="75"/>
      <c r="E7" s="75">
        <f>(748/12144)*100</f>
        <v>6.1594202898550732</v>
      </c>
      <c r="F7" s="75">
        <v>22</v>
      </c>
    </row>
    <row r="8" spans="1:6" x14ac:dyDescent="0.2">
      <c r="A8" s="49" t="s">
        <v>118</v>
      </c>
      <c r="B8" s="75">
        <f>(225/12144)*100</f>
        <v>1.8527667984189724</v>
      </c>
      <c r="C8" s="75">
        <v>28</v>
      </c>
      <c r="D8" s="75"/>
      <c r="E8" s="75">
        <f>(225/12144)*100</f>
        <v>1.8527667984189724</v>
      </c>
      <c r="F8" s="75">
        <v>28</v>
      </c>
    </row>
    <row r="9" spans="1:6" x14ac:dyDescent="0.2">
      <c r="A9" s="49" t="s">
        <v>119</v>
      </c>
      <c r="B9" s="75">
        <f>(769/12144)*100</f>
        <v>6.3323451910408428</v>
      </c>
      <c r="C9" s="75">
        <v>15</v>
      </c>
      <c r="D9" s="75"/>
      <c r="E9" s="75">
        <f>(769/12144)*100</f>
        <v>6.3323451910408428</v>
      </c>
      <c r="F9" s="75">
        <v>15</v>
      </c>
    </row>
    <row r="10" spans="1:6" x14ac:dyDescent="0.2">
      <c r="A10" s="49" t="s">
        <v>120</v>
      </c>
      <c r="B10" s="75">
        <f>(832/12144)*100</f>
        <v>6.8511198945981553</v>
      </c>
      <c r="C10" s="75">
        <v>15</v>
      </c>
      <c r="D10" s="75"/>
      <c r="E10" s="75">
        <f>(832/12144)*100</f>
        <v>6.8511198945981553</v>
      </c>
      <c r="F10" s="75">
        <v>15</v>
      </c>
    </row>
    <row r="11" spans="1:6" x14ac:dyDescent="0.2">
      <c r="A11" s="49" t="s">
        <v>121</v>
      </c>
      <c r="B11" s="75">
        <f>(583/12144)*100</f>
        <v>4.8007246376811592</v>
      </c>
      <c r="C11" s="75">
        <v>33</v>
      </c>
      <c r="D11" s="75"/>
      <c r="E11" s="75">
        <f>(583/12144)*100</f>
        <v>4.8007246376811592</v>
      </c>
      <c r="F11" s="75">
        <v>33</v>
      </c>
    </row>
    <row r="12" spans="1:6" x14ac:dyDescent="0.2">
      <c r="A12" s="49" t="s">
        <v>122</v>
      </c>
      <c r="B12" s="75">
        <f>(437/12144)*100</f>
        <v>3.5984848484848486</v>
      </c>
      <c r="C12" s="75">
        <v>5</v>
      </c>
      <c r="D12" s="75"/>
      <c r="E12" s="75">
        <f>(437/12144)*100</f>
        <v>3.5984848484848486</v>
      </c>
      <c r="F12" s="75">
        <v>5</v>
      </c>
    </row>
    <row r="13" spans="1:6" x14ac:dyDescent="0.2">
      <c r="A13" s="49" t="s">
        <v>123</v>
      </c>
      <c r="B13" s="75">
        <f>(911/12144)*100</f>
        <v>7.5016469038208173</v>
      </c>
      <c r="C13" s="75">
        <v>34</v>
      </c>
      <c r="D13" s="75"/>
      <c r="E13" s="75">
        <f>(911/12144)*100</f>
        <v>7.5016469038208173</v>
      </c>
      <c r="F13" s="75">
        <v>34</v>
      </c>
    </row>
    <row r="14" spans="1:6" x14ac:dyDescent="0.2">
      <c r="A14" s="49" t="s">
        <v>124</v>
      </c>
      <c r="B14" s="75">
        <f>(278/12144)*100</f>
        <v>2.2891963109354414</v>
      </c>
      <c r="C14" s="75">
        <v>13</v>
      </c>
      <c r="D14" s="75"/>
      <c r="E14" s="75">
        <f>(278/12144)*100</f>
        <v>2.2891963109354414</v>
      </c>
      <c r="F14" s="75">
        <v>13</v>
      </c>
    </row>
    <row r="15" spans="1:6" x14ac:dyDescent="0.2">
      <c r="A15" s="49" t="s">
        <v>125</v>
      </c>
      <c r="B15" s="75">
        <f>(106/12144)*100</f>
        <v>0.872859025032938</v>
      </c>
      <c r="C15" s="75">
        <v>15</v>
      </c>
      <c r="D15" s="75"/>
      <c r="E15" s="75">
        <f>(106/12144)*100</f>
        <v>0.872859025032938</v>
      </c>
      <c r="F15" s="75">
        <v>15</v>
      </c>
    </row>
    <row r="16" spans="1:6" x14ac:dyDescent="0.2">
      <c r="A16" s="49" t="s">
        <v>126</v>
      </c>
      <c r="B16" s="75">
        <f>(90/12144)*100</f>
        <v>0.74110671936758887</v>
      </c>
      <c r="C16" s="75">
        <v>12</v>
      </c>
      <c r="D16" s="75"/>
      <c r="E16" s="75">
        <f>(90/12144)*100</f>
        <v>0.74110671936758887</v>
      </c>
      <c r="F16" s="75">
        <v>12</v>
      </c>
    </row>
    <row r="17" spans="1:6" x14ac:dyDescent="0.2">
      <c r="A17" s="49" t="s">
        <v>127</v>
      </c>
      <c r="B17" s="75">
        <f>(45/12144)*100</f>
        <v>0.37055335968379444</v>
      </c>
      <c r="C17" s="75">
        <v>50</v>
      </c>
      <c r="D17" s="75"/>
      <c r="E17" s="75">
        <f>(45/12144)*100</f>
        <v>0.37055335968379444</v>
      </c>
      <c r="F17" s="75">
        <v>50</v>
      </c>
    </row>
    <row r="18" spans="1:6" x14ac:dyDescent="0.2">
      <c r="A18" s="49" t="s">
        <v>128</v>
      </c>
      <c r="B18" s="75">
        <f>(227/12144)*100</f>
        <v>1.8692358366271409</v>
      </c>
      <c r="C18" s="75">
        <v>10</v>
      </c>
      <c r="D18" s="75"/>
      <c r="E18" s="75">
        <f>(227/12144)*100</f>
        <v>1.8692358366271409</v>
      </c>
      <c r="F18" s="75">
        <v>10</v>
      </c>
    </row>
    <row r="19" spans="1:6" x14ac:dyDescent="0.2">
      <c r="A19" s="49" t="s">
        <v>129</v>
      </c>
      <c r="B19" s="75">
        <v>2</v>
      </c>
      <c r="C19" s="75">
        <v>15</v>
      </c>
      <c r="D19" s="75"/>
      <c r="E19" s="75">
        <v>2</v>
      </c>
      <c r="F19" s="75">
        <v>15</v>
      </c>
    </row>
    <row r="20" spans="1:6" x14ac:dyDescent="0.2">
      <c r="A20" s="49" t="s">
        <v>70</v>
      </c>
      <c r="B20" s="69">
        <f>SUM(B6:B19)</f>
        <v>100.40250329380763</v>
      </c>
      <c r="C20" s="69">
        <f>((B6*C6)+(B7*C7)+(B8*C8)+(B9*C9)+(B10*C10)+(B11*C11)+(B12*C12)+(B13*C13)+(B14*C14)+(B15*C15)+(B16*C16)+(B17*C17)+(B18*C18)+(B19*C19))/100</f>
        <v>19.285095520421606</v>
      </c>
      <c r="D20" s="75"/>
      <c r="E20" s="69">
        <f>SUM(E6:E19)</f>
        <v>100.40250329380763</v>
      </c>
      <c r="F20" s="69">
        <f>((E6*F6)+(E7*F7)+(E8*F8)+(E9*F9)+(E10*F10)+(E11*F11)+(E12*F12)+(E13*F13)+(E14*F14)+(E15*F15)+(E16*F16)+(E17*F17)+(E18*F18)+(E19*F19))/100</f>
        <v>19.285095520421606</v>
      </c>
    </row>
    <row r="21" spans="1:6" x14ac:dyDescent="0.2">
      <c r="C21" s="75"/>
      <c r="D21" s="75"/>
      <c r="E21" s="75"/>
      <c r="F21" s="75"/>
    </row>
    <row r="22" spans="1:6" x14ac:dyDescent="0.2">
      <c r="A22" s="49" t="s">
        <v>130</v>
      </c>
      <c r="C22" s="75">
        <v>0</v>
      </c>
      <c r="D22" s="75"/>
      <c r="E22" s="75"/>
      <c r="F22" s="75">
        <v>20</v>
      </c>
    </row>
    <row r="23" spans="1:6" x14ac:dyDescent="0.2">
      <c r="C23" s="75"/>
      <c r="D23" s="75"/>
    </row>
    <row r="24" spans="1:6" x14ac:dyDescent="0.2">
      <c r="A24" s="10"/>
      <c r="C24" s="75"/>
      <c r="D24" s="75"/>
    </row>
    <row r="25" spans="1:6" x14ac:dyDescent="0.2">
      <c r="C25" s="75"/>
      <c r="D25" s="75"/>
    </row>
    <row r="26" spans="1:6" x14ac:dyDescent="0.2">
      <c r="C26" s="75"/>
      <c r="D26" s="75"/>
    </row>
    <row r="27" spans="1:6" x14ac:dyDescent="0.2">
      <c r="C27" s="75"/>
      <c r="D27" s="75"/>
    </row>
    <row r="28" spans="1:6" x14ac:dyDescent="0.2">
      <c r="C28" s="75"/>
      <c r="D28" s="75"/>
    </row>
    <row r="29" spans="1:6" x14ac:dyDescent="0.2">
      <c r="C29" s="75"/>
      <c r="D29" s="75"/>
    </row>
    <row r="30" spans="1:6" x14ac:dyDescent="0.2">
      <c r="C30" s="75"/>
      <c r="D30" s="75"/>
    </row>
    <row r="31" spans="1:6" x14ac:dyDescent="0.2">
      <c r="C31" s="75"/>
      <c r="D31" s="75"/>
    </row>
    <row r="32" spans="1:6" x14ac:dyDescent="0.2">
      <c r="C32" s="75"/>
      <c r="D32" s="75"/>
    </row>
    <row r="33" spans="3:4" x14ac:dyDescent="0.2">
      <c r="C33" s="75"/>
      <c r="D33" s="75"/>
    </row>
    <row r="34" spans="3:4" x14ac:dyDescent="0.2">
      <c r="C34" s="75"/>
      <c r="D34" s="75"/>
    </row>
    <row r="35" spans="3:4" x14ac:dyDescent="0.2">
      <c r="C35" s="75"/>
      <c r="D35" s="75"/>
    </row>
    <row r="36" spans="3:4" x14ac:dyDescent="0.2">
      <c r="C36" s="75"/>
      <c r="D36" s="75"/>
    </row>
    <row r="37" spans="3:4" x14ac:dyDescent="0.2">
      <c r="C37" s="75"/>
      <c r="D37" s="75"/>
    </row>
    <row r="38" spans="3:4" x14ac:dyDescent="0.2">
      <c r="C38" s="75"/>
      <c r="D38" s="75"/>
    </row>
    <row r="39" spans="3:4" x14ac:dyDescent="0.2">
      <c r="C39" s="75"/>
      <c r="D39" s="75"/>
    </row>
    <row r="40" spans="3:4" x14ac:dyDescent="0.2">
      <c r="C40" s="75"/>
      <c r="D40" s="75"/>
    </row>
    <row r="41" spans="3:4" x14ac:dyDescent="0.2">
      <c r="C41" s="75"/>
      <c r="D41" s="75"/>
    </row>
  </sheetData>
  <phoneticPr fontId="5" type="noConversion"/>
  <printOptions gridLines="1" gridLinesSet="0"/>
  <pageMargins left="0.39370078740157483" right="0.39370078740157483" top="0.59055118110236227" bottom="0.59055118110236227" header="0.51181102362204722" footer="0.51181102362204722"/>
  <pageSetup paperSize="270" orientation="portrait" horizontalDpi="300" verticalDpi="300" r:id="rId1"/>
  <headerFooter alignWithMargins="0">
    <oddHeader>&amp;A</oddHead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Tabela 4.1</vt:lpstr>
      <vt:lpstr>Tabela 4.2</vt:lpstr>
      <vt:lpstr>Tabela 4.3</vt:lpstr>
      <vt:lpstr>Tabela 4.4</vt:lpstr>
      <vt:lpstr>tabela 4.5</vt:lpstr>
      <vt:lpstr>tabela 4.6</vt:lpstr>
      <vt:lpstr>tabela 4.7</vt:lpstr>
      <vt:lpstr>tabela 4.8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Treinamento</dc:creator>
  <cp:lastModifiedBy>Roberto</cp:lastModifiedBy>
  <cp:lastPrinted>2013-11-25T12:45:52Z</cp:lastPrinted>
  <dcterms:created xsi:type="dcterms:W3CDTF">2002-08-06T13:15:04Z</dcterms:created>
  <dcterms:modified xsi:type="dcterms:W3CDTF">2013-11-29T18:17:36Z</dcterms:modified>
</cp:coreProperties>
</file>