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985" yWindow="-15" windowWidth="5970" windowHeight="6870" tabRatio="796" activeTab="8"/>
  </bookViews>
  <sheets>
    <sheet name="A" sheetId="12" r:id="rId1"/>
    <sheet name="B" sheetId="11" r:id="rId2"/>
    <sheet name="C" sheetId="10" r:id="rId3"/>
    <sheet name="D" sheetId="9" r:id="rId4"/>
    <sheet name="E" sheetId="19" r:id="rId5"/>
    <sheet name="Margens" sheetId="14" r:id="rId6"/>
    <sheet name="Custos Fixos" sheetId="15" r:id="rId7"/>
    <sheet name="Resultado" sheetId="16" r:id="rId8"/>
    <sheet name="Índices" sheetId="17" r:id="rId9"/>
    <sheet name="produto E" sheetId="20" r:id="rId10"/>
  </sheets>
  <calcPr calcId="145621"/>
</workbook>
</file>

<file path=xl/calcChain.xml><?xml version="1.0" encoding="utf-8"?>
<calcChain xmlns="http://schemas.openxmlformats.org/spreadsheetml/2006/main">
  <c r="D3" i="19" l="1"/>
  <c r="B15" i="19" s="1"/>
  <c r="C25" i="14"/>
  <c r="N25" i="14" s="1"/>
  <c r="D25" i="14"/>
  <c r="E25" i="14"/>
  <c r="F25" i="14"/>
  <c r="G25" i="14"/>
  <c r="H25" i="14"/>
  <c r="I25" i="14"/>
  <c r="J25" i="14"/>
  <c r="K25" i="14"/>
  <c r="L25" i="14"/>
  <c r="M25" i="14"/>
  <c r="B25" i="14"/>
  <c r="B38" i="10"/>
  <c r="B38" i="12"/>
  <c r="B14" i="19"/>
  <c r="B37" i="19" s="1"/>
  <c r="B15" i="9"/>
  <c r="B18" i="9" s="1"/>
  <c r="B14" i="9"/>
  <c r="B15" i="10"/>
  <c r="B29" i="10" s="1"/>
  <c r="B14" i="10"/>
  <c r="B16" i="10" s="1"/>
  <c r="B15" i="11"/>
  <c r="B14" i="11"/>
  <c r="B19" i="11" s="1"/>
  <c r="B15" i="12"/>
  <c r="B18" i="12" s="1"/>
  <c r="B14" i="12"/>
  <c r="B6" i="15"/>
  <c r="B7" i="15" s="1"/>
  <c r="B8" i="15" s="1"/>
  <c r="C6" i="15"/>
  <c r="C7" i="15" s="1"/>
  <c r="C8" i="15" s="1"/>
  <c r="D6" i="15"/>
  <c r="D7" i="15" s="1"/>
  <c r="D8" i="15" s="1"/>
  <c r="E6" i="15"/>
  <c r="E7" i="15" s="1"/>
  <c r="E8" i="15" s="1"/>
  <c r="F6" i="15"/>
  <c r="G6" i="15"/>
  <c r="G7" i="15" s="1"/>
  <c r="G8" i="15" s="1"/>
  <c r="H6" i="15"/>
  <c r="H7" i="15" s="1"/>
  <c r="H8" i="15" s="1"/>
  <c r="I6" i="15"/>
  <c r="I7" i="15" s="1"/>
  <c r="I8" i="15" s="1"/>
  <c r="J6" i="15"/>
  <c r="J7" i="15" s="1"/>
  <c r="J8" i="15" s="1"/>
  <c r="K6" i="15"/>
  <c r="K7" i="15" s="1"/>
  <c r="K8" i="15" s="1"/>
  <c r="L6" i="15"/>
  <c r="L7" i="15" s="1"/>
  <c r="L8" i="15" s="1"/>
  <c r="M6" i="15"/>
  <c r="M7" i="15" s="1"/>
  <c r="M8" i="15" s="1"/>
  <c r="B10" i="15"/>
  <c r="B11" i="15"/>
  <c r="B12" i="15"/>
  <c r="C10" i="15"/>
  <c r="C11" i="15"/>
  <c r="C12" i="15"/>
  <c r="C13" i="15" s="1"/>
  <c r="D10" i="15"/>
  <c r="D11" i="15"/>
  <c r="D12" i="15"/>
  <c r="E10" i="15"/>
  <c r="E11" i="15"/>
  <c r="E12" i="15"/>
  <c r="F10" i="15"/>
  <c r="F11" i="15"/>
  <c r="F12" i="15"/>
  <c r="F13" i="15" s="1"/>
  <c r="G10" i="15"/>
  <c r="G11" i="15"/>
  <c r="G12" i="15"/>
  <c r="G13" i="15" s="1"/>
  <c r="H10" i="15"/>
  <c r="H11" i="15"/>
  <c r="H12" i="15"/>
  <c r="I10" i="15"/>
  <c r="I11" i="15"/>
  <c r="I12" i="15"/>
  <c r="J10" i="15"/>
  <c r="J11" i="15"/>
  <c r="J12" i="15"/>
  <c r="J13" i="15" s="1"/>
  <c r="K10" i="15"/>
  <c r="K11" i="15"/>
  <c r="K12" i="15"/>
  <c r="K13" i="15" s="1"/>
  <c r="L10" i="15"/>
  <c r="L11" i="15"/>
  <c r="L12" i="15"/>
  <c r="M10" i="15"/>
  <c r="M11" i="15"/>
  <c r="M12" i="15"/>
  <c r="B18" i="15"/>
  <c r="C18" i="15"/>
  <c r="N18" i="15" s="1"/>
  <c r="D18" i="15"/>
  <c r="E18" i="15"/>
  <c r="F18" i="15"/>
  <c r="G18" i="15"/>
  <c r="H18" i="15"/>
  <c r="I18" i="15"/>
  <c r="J18" i="15"/>
  <c r="K18" i="15"/>
  <c r="L18" i="15"/>
  <c r="M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N20" i="15"/>
  <c r="B20" i="15" s="1"/>
  <c r="B21" i="15"/>
  <c r="C21" i="15"/>
  <c r="D21" i="15"/>
  <c r="E21" i="15"/>
  <c r="F21" i="15"/>
  <c r="G21" i="15"/>
  <c r="H21" i="15"/>
  <c r="I21" i="15"/>
  <c r="J21" i="15"/>
  <c r="K21" i="15"/>
  <c r="L21" i="15"/>
  <c r="M21" i="15"/>
  <c r="B11" i="19"/>
  <c r="B36" i="19"/>
  <c r="B11" i="12"/>
  <c r="D17" i="12" s="1"/>
  <c r="B36" i="12"/>
  <c r="B40" i="12"/>
  <c r="B11" i="9"/>
  <c r="B11" i="10"/>
  <c r="B11" i="11"/>
  <c r="D17" i="11" s="1"/>
  <c r="F7" i="15"/>
  <c r="F8" i="15" s="1"/>
  <c r="C14" i="19"/>
  <c r="C15" i="19"/>
  <c r="C14" i="12"/>
  <c r="B23" i="12"/>
  <c r="D23" i="12" s="1"/>
  <c r="C15" i="12"/>
  <c r="B36" i="11"/>
  <c r="C14" i="11"/>
  <c r="B20" i="11"/>
  <c r="D20" i="11" s="1"/>
  <c r="C15" i="11"/>
  <c r="B36" i="10"/>
  <c r="C14" i="10"/>
  <c r="B23" i="10"/>
  <c r="D23" i="10" s="1"/>
  <c r="C15" i="10"/>
  <c r="B36" i="9"/>
  <c r="C14" i="9"/>
  <c r="D14" i="9" s="1"/>
  <c r="B23" i="9"/>
  <c r="D23" i="9" s="1"/>
  <c r="C15" i="9"/>
  <c r="B30" i="9" s="1"/>
  <c r="D17" i="9"/>
  <c r="B28" i="12"/>
  <c r="B30" i="12"/>
  <c r="O7" i="15"/>
  <c r="O8" i="15" s="1"/>
  <c r="O33" i="15"/>
  <c r="G33" i="15" s="1"/>
  <c r="G31" i="15" s="1"/>
  <c r="E33" i="15"/>
  <c r="I33" i="15"/>
  <c r="M33" i="15"/>
  <c r="O32" i="15"/>
  <c r="D32" i="15" s="1"/>
  <c r="B32" i="15"/>
  <c r="E32" i="15"/>
  <c r="E31" i="15" s="1"/>
  <c r="G32" i="15"/>
  <c r="H32" i="15"/>
  <c r="I32" i="15"/>
  <c r="I31" i="15" s="1"/>
  <c r="J32" i="15"/>
  <c r="L32" i="15"/>
  <c r="M32" i="15"/>
  <c r="M31" i="15" s="1"/>
  <c r="O31" i="15"/>
  <c r="O13" i="15"/>
  <c r="O23" i="15"/>
  <c r="B18" i="11"/>
  <c r="D15" i="11"/>
  <c r="B19" i="19"/>
  <c r="B23" i="19"/>
  <c r="B29" i="9"/>
  <c r="N12" i="15" l="1"/>
  <c r="L33" i="15"/>
  <c r="L31" i="15" s="1"/>
  <c r="D15" i="10"/>
  <c r="B38" i="9"/>
  <c r="B40" i="9" s="1"/>
  <c r="D22" i="17" s="1"/>
  <c r="K33" i="15"/>
  <c r="C33" i="15"/>
  <c r="D17" i="10"/>
  <c r="B16" i="9"/>
  <c r="D16" i="9" s="1"/>
  <c r="D19" i="19"/>
  <c r="K32" i="15"/>
  <c r="K31" i="15" s="1"/>
  <c r="F32" i="15"/>
  <c r="C32" i="15"/>
  <c r="C31" i="15" s="1"/>
  <c r="J33" i="15"/>
  <c r="J31" i="15" s="1"/>
  <c r="F33" i="15"/>
  <c r="B33" i="15"/>
  <c r="B28" i="9"/>
  <c r="B19" i="9"/>
  <c r="D19" i="9" s="1"/>
  <c r="M13" i="15"/>
  <c r="I13" i="15"/>
  <c r="E13" i="15"/>
  <c r="E15" i="15" s="1"/>
  <c r="B38" i="19"/>
  <c r="D18" i="11"/>
  <c r="H33" i="15"/>
  <c r="H31" i="15" s="1"/>
  <c r="D33" i="15"/>
  <c r="D31" i="15" s="1"/>
  <c r="B23" i="15"/>
  <c r="N11" i="15"/>
  <c r="D23" i="19"/>
  <c r="B21" i="9"/>
  <c r="D21" i="9" s="1"/>
  <c r="L13" i="15"/>
  <c r="H13" i="15"/>
  <c r="D13" i="15"/>
  <c r="N10" i="15"/>
  <c r="B30" i="11"/>
  <c r="D18" i="9"/>
  <c r="D15" i="19"/>
  <c r="B21" i="19"/>
  <c r="D21" i="19" s="1"/>
  <c r="B28" i="19"/>
  <c r="B22" i="19"/>
  <c r="D22" i="19" s="1"/>
  <c r="B20" i="19"/>
  <c r="D20" i="19" s="1"/>
  <c r="B16" i="19"/>
  <c r="D16" i="19" s="1"/>
  <c r="D14" i="19"/>
  <c r="B41" i="19" s="1"/>
  <c r="N21" i="15"/>
  <c r="D15" i="9"/>
  <c r="B31" i="9"/>
  <c r="B43" i="9" s="1"/>
  <c r="B22" i="11"/>
  <c r="B16" i="11"/>
  <c r="D16" i="11" s="1"/>
  <c r="B38" i="11"/>
  <c r="B40" i="11" s="1"/>
  <c r="D20" i="17" s="1"/>
  <c r="N19" i="15"/>
  <c r="N23" i="15" s="1"/>
  <c r="N6" i="15"/>
  <c r="N7" i="15" s="1"/>
  <c r="N8" i="15" s="1"/>
  <c r="K15" i="15"/>
  <c r="J15" i="15"/>
  <c r="G15" i="15"/>
  <c r="F15" i="15"/>
  <c r="C15" i="15"/>
  <c r="B13" i="15"/>
  <c r="O15" i="15"/>
  <c r="O25" i="15" s="1"/>
  <c r="M15" i="15"/>
  <c r="L15" i="15"/>
  <c r="I15" i="15"/>
  <c r="H15" i="15"/>
  <c r="D15" i="15"/>
  <c r="B29" i="11"/>
  <c r="D19" i="11"/>
  <c r="D16" i="10"/>
  <c r="B19" i="10"/>
  <c r="D19" i="10" s="1"/>
  <c r="D17" i="19"/>
  <c r="B29" i="19"/>
  <c r="B28" i="10"/>
  <c r="B21" i="10"/>
  <c r="D21" i="10" s="1"/>
  <c r="B28" i="11"/>
  <c r="B23" i="11"/>
  <c r="D23" i="11" s="1"/>
  <c r="B21" i="11"/>
  <c r="D21" i="11" s="1"/>
  <c r="D15" i="12"/>
  <c r="B22" i="9"/>
  <c r="D22" i="9" s="1"/>
  <c r="B20" i="9"/>
  <c r="D20" i="9" s="1"/>
  <c r="B18" i="10"/>
  <c r="D18" i="10" s="1"/>
  <c r="B40" i="10"/>
  <c r="D21" i="17" s="1"/>
  <c r="B40" i="19"/>
  <c r="D23" i="17" s="1"/>
  <c r="B30" i="19"/>
  <c r="B18" i="19"/>
  <c r="M20" i="15"/>
  <c r="M23" i="15" s="1"/>
  <c r="L20" i="15"/>
  <c r="L23" i="15" s="1"/>
  <c r="K20" i="15"/>
  <c r="K23" i="15" s="1"/>
  <c r="J20" i="15"/>
  <c r="J23" i="15" s="1"/>
  <c r="J25" i="15" s="1"/>
  <c r="J9" i="16" s="1"/>
  <c r="I20" i="15"/>
  <c r="I23" i="15" s="1"/>
  <c r="H20" i="15"/>
  <c r="H23" i="15" s="1"/>
  <c r="G20" i="15"/>
  <c r="G23" i="15" s="1"/>
  <c r="G25" i="15" s="1"/>
  <c r="G9" i="16" s="1"/>
  <c r="F20" i="15"/>
  <c r="F23" i="15" s="1"/>
  <c r="F25" i="15" s="1"/>
  <c r="F9" i="16" s="1"/>
  <c r="E20" i="15"/>
  <c r="E23" i="15" s="1"/>
  <c r="D20" i="15"/>
  <c r="D23" i="15" s="1"/>
  <c r="C20" i="15"/>
  <c r="C23" i="15" s="1"/>
  <c r="B41" i="9"/>
  <c r="E8" i="14" s="1"/>
  <c r="B30" i="10"/>
  <c r="B22" i="10"/>
  <c r="D22" i="10" s="1"/>
  <c r="B20" i="10"/>
  <c r="D20" i="10" s="1"/>
  <c r="D14" i="10"/>
  <c r="B41" i="10" s="1"/>
  <c r="D14" i="11"/>
  <c r="B31" i="11"/>
  <c r="D14" i="12"/>
  <c r="B41" i="12" s="1"/>
  <c r="B22" i="12"/>
  <c r="D22" i="12" s="1"/>
  <c r="B29" i="12"/>
  <c r="B31" i="12" s="1"/>
  <c r="B43" i="12" s="1"/>
  <c r="B21" i="12"/>
  <c r="D21" i="12" s="1"/>
  <c r="B20" i="12"/>
  <c r="D20" i="12" s="1"/>
  <c r="B19" i="12"/>
  <c r="D19" i="12" s="1"/>
  <c r="B16" i="12"/>
  <c r="D16" i="12" s="1"/>
  <c r="D18" i="12"/>
  <c r="N13" i="15" l="1"/>
  <c r="C25" i="15"/>
  <c r="C9" i="16" s="1"/>
  <c r="K25" i="15"/>
  <c r="K9" i="16" s="1"/>
  <c r="N33" i="15"/>
  <c r="B31" i="15"/>
  <c r="F31" i="15"/>
  <c r="N32" i="15"/>
  <c r="B31" i="19"/>
  <c r="B43" i="19" s="1"/>
  <c r="B8" i="14"/>
  <c r="B24" i="11"/>
  <c r="B25" i="11" s="1"/>
  <c r="B41" i="11"/>
  <c r="C6" i="14" s="1"/>
  <c r="D22" i="11"/>
  <c r="D24" i="11" s="1"/>
  <c r="B43" i="11"/>
  <c r="D25" i="15"/>
  <c r="D9" i="16" s="1"/>
  <c r="H25" i="15"/>
  <c r="H9" i="16" s="1"/>
  <c r="L25" i="15"/>
  <c r="L9" i="16" s="1"/>
  <c r="E25" i="15"/>
  <c r="E9" i="16" s="1"/>
  <c r="I25" i="15"/>
  <c r="I9" i="16" s="1"/>
  <c r="M25" i="15"/>
  <c r="M9" i="16" s="1"/>
  <c r="N15" i="15"/>
  <c r="N25" i="15" s="1"/>
  <c r="B15" i="15"/>
  <c r="B25" i="15" s="1"/>
  <c r="B9" i="16" s="1"/>
  <c r="L8" i="14"/>
  <c r="B31" i="10"/>
  <c r="B43" i="10" s="1"/>
  <c r="D24" i="9"/>
  <c r="B42" i="9" s="1"/>
  <c r="J8" i="14"/>
  <c r="G8" i="14"/>
  <c r="D8" i="14"/>
  <c r="F8" i="14"/>
  <c r="K8" i="14"/>
  <c r="C8" i="14"/>
  <c r="H8" i="14"/>
  <c r="I8" i="14"/>
  <c r="B24" i="9"/>
  <c r="B25" i="9" s="1"/>
  <c r="M6" i="14"/>
  <c r="F6" i="14"/>
  <c r="G6" i="14"/>
  <c r="D24" i="12"/>
  <c r="D25" i="12" s="1"/>
  <c r="E5" i="14"/>
  <c r="H5" i="14"/>
  <c r="K5" i="14"/>
  <c r="M5" i="14"/>
  <c r="C5" i="14"/>
  <c r="F5" i="14"/>
  <c r="C9" i="14"/>
  <c r="G9" i="14"/>
  <c r="K9" i="14"/>
  <c r="D9" i="14"/>
  <c r="H9" i="14"/>
  <c r="L9" i="14"/>
  <c r="B9" i="14"/>
  <c r="E9" i="14"/>
  <c r="I9" i="14"/>
  <c r="M9" i="14"/>
  <c r="F9" i="14"/>
  <c r="J9" i="14"/>
  <c r="D18" i="19"/>
  <c r="D24" i="19" s="1"/>
  <c r="B24" i="19"/>
  <c r="B25" i="19" s="1"/>
  <c r="M8" i="14"/>
  <c r="D25" i="9"/>
  <c r="B22" i="14" s="1"/>
  <c r="D24" i="10"/>
  <c r="B24" i="10"/>
  <c r="B25" i="10" s="1"/>
  <c r="G7" i="14"/>
  <c r="B7" i="14"/>
  <c r="J7" i="14"/>
  <c r="I7" i="14"/>
  <c r="D7" i="14"/>
  <c r="L7" i="14"/>
  <c r="C7" i="14"/>
  <c r="K7" i="14"/>
  <c r="F7" i="14"/>
  <c r="E7" i="14"/>
  <c r="M7" i="14"/>
  <c r="H7" i="14"/>
  <c r="J5" i="14"/>
  <c r="B5" i="14"/>
  <c r="G5" i="14"/>
  <c r="L5" i="14"/>
  <c r="D5" i="14"/>
  <c r="I5" i="14"/>
  <c r="B24" i="12"/>
  <c r="B25" i="12" s="1"/>
  <c r="B42" i="12"/>
  <c r="B6" i="14" l="1"/>
  <c r="I6" i="14"/>
  <c r="H6" i="14"/>
  <c r="N6" i="14" s="1"/>
  <c r="L6" i="14"/>
  <c r="K6" i="14"/>
  <c r="E6" i="14"/>
  <c r="J6" i="14"/>
  <c r="J4" i="14" s="1"/>
  <c r="J5" i="16" s="1"/>
  <c r="J11" i="16" s="1"/>
  <c r="D6" i="14"/>
  <c r="N31" i="15"/>
  <c r="P31" i="15" s="1"/>
  <c r="P25" i="15"/>
  <c r="B27" i="17"/>
  <c r="D11" i="9"/>
  <c r="B42" i="11"/>
  <c r="D25" i="11"/>
  <c r="N9" i="16"/>
  <c r="N8" i="14"/>
  <c r="B4" i="14"/>
  <c r="B5" i="16" s="1"/>
  <c r="I4" i="14"/>
  <c r="I5" i="16" s="1"/>
  <c r="I11" i="16" s="1"/>
  <c r="L4" i="14"/>
  <c r="L5" i="16" s="1"/>
  <c r="L11" i="16" s="1"/>
  <c r="N7" i="14"/>
  <c r="M4" i="14"/>
  <c r="M5" i="16" s="1"/>
  <c r="M11" i="16" s="1"/>
  <c r="F4" i="14"/>
  <c r="F5" i="16" s="1"/>
  <c r="F11" i="16" s="1"/>
  <c r="K4" i="14"/>
  <c r="K5" i="16" s="1"/>
  <c r="K11" i="16" s="1"/>
  <c r="E4" i="14"/>
  <c r="E5" i="16" s="1"/>
  <c r="E11" i="16" s="1"/>
  <c r="N5" i="14"/>
  <c r="C4" i="14"/>
  <c r="C5" i="16" s="1"/>
  <c r="C11" i="16" s="1"/>
  <c r="D25" i="19"/>
  <c r="B42" i="19"/>
  <c r="N9" i="14"/>
  <c r="K15" i="14"/>
  <c r="L15" i="14"/>
  <c r="J15" i="14"/>
  <c r="M15" i="14"/>
  <c r="F15" i="14"/>
  <c r="B15" i="14"/>
  <c r="C15" i="14"/>
  <c r="D15" i="14"/>
  <c r="I15" i="14"/>
  <c r="H15" i="14"/>
  <c r="G15" i="14"/>
  <c r="E15" i="14"/>
  <c r="B42" i="10"/>
  <c r="D25" i="10"/>
  <c r="D4" i="14"/>
  <c r="D5" i="16" s="1"/>
  <c r="D11" i="16" s="1"/>
  <c r="G4" i="14"/>
  <c r="G5" i="16" s="1"/>
  <c r="G11" i="16" s="1"/>
  <c r="D11" i="12"/>
  <c r="B19" i="14"/>
  <c r="H4" i="14" l="1"/>
  <c r="H5" i="16" s="1"/>
  <c r="H11" i="16" s="1"/>
  <c r="B20" i="14"/>
  <c r="D11" i="11"/>
  <c r="N4" i="14"/>
  <c r="O4" i="14" s="1"/>
  <c r="B23" i="14"/>
  <c r="D11" i="19"/>
  <c r="N15" i="14"/>
  <c r="B21" i="14"/>
  <c r="D11" i="10"/>
  <c r="N5" i="16"/>
  <c r="B11" i="16"/>
  <c r="J12" i="14"/>
  <c r="F12" i="14"/>
  <c r="G12" i="14"/>
  <c r="L12" i="14"/>
  <c r="M12" i="14"/>
  <c r="I12" i="14"/>
  <c r="D12" i="14"/>
  <c r="E12" i="14"/>
  <c r="H12" i="14"/>
  <c r="C12" i="14"/>
  <c r="B12" i="14"/>
  <c r="K12" i="14"/>
  <c r="K13" i="14" l="1"/>
  <c r="C13" i="14"/>
  <c r="G13" i="14"/>
  <c r="M13" i="14"/>
  <c r="F13" i="14"/>
  <c r="D13" i="14"/>
  <c r="B13" i="14"/>
  <c r="L13" i="14"/>
  <c r="J13" i="14"/>
  <c r="I13" i="14"/>
  <c r="E13" i="14"/>
  <c r="H13" i="14"/>
  <c r="B5" i="17"/>
  <c r="B16" i="14"/>
  <c r="I16" i="14"/>
  <c r="K16" i="14"/>
  <c r="J16" i="14"/>
  <c r="E16" i="14"/>
  <c r="D16" i="14"/>
  <c r="F16" i="14"/>
  <c r="H16" i="14"/>
  <c r="C16" i="14"/>
  <c r="M16" i="14"/>
  <c r="L16" i="14"/>
  <c r="G16" i="14"/>
  <c r="D14" i="14"/>
  <c r="H14" i="14"/>
  <c r="L14" i="14"/>
  <c r="L11" i="14" s="1"/>
  <c r="L7" i="16" s="1"/>
  <c r="I14" i="14"/>
  <c r="C14" i="14"/>
  <c r="C11" i="14" s="1"/>
  <c r="C7" i="16" s="1"/>
  <c r="E14" i="14"/>
  <c r="F14" i="14"/>
  <c r="J14" i="14"/>
  <c r="B14" i="14"/>
  <c r="K14" i="14"/>
  <c r="M14" i="14"/>
  <c r="G14" i="14"/>
  <c r="N11" i="16"/>
  <c r="B12" i="16"/>
  <c r="N12" i="14"/>
  <c r="H11" i="14" l="1"/>
  <c r="H7" i="16" s="1"/>
  <c r="G11" i="14"/>
  <c r="G7" i="16" s="1"/>
  <c r="I11" i="14"/>
  <c r="I7" i="16" s="1"/>
  <c r="K11" i="14"/>
  <c r="K7" i="16" s="1"/>
  <c r="E11" i="14"/>
  <c r="E7" i="16" s="1"/>
  <c r="B11" i="14"/>
  <c r="B7" i="16" s="1"/>
  <c r="N13" i="14"/>
  <c r="F11" i="14"/>
  <c r="F7" i="16" s="1"/>
  <c r="D11" i="14"/>
  <c r="D7" i="16" s="1"/>
  <c r="J11" i="14"/>
  <c r="J7" i="16" s="1"/>
  <c r="M11" i="14"/>
  <c r="M7" i="16" s="1"/>
  <c r="N16" i="14"/>
  <c r="N14" i="14"/>
  <c r="C12" i="16"/>
  <c r="B14" i="16"/>
  <c r="B16" i="16" l="1"/>
  <c r="N7" i="16"/>
  <c r="N11" i="14"/>
  <c r="B18" i="14" s="1"/>
  <c r="B28" i="17" s="1"/>
  <c r="B29" i="17" s="1"/>
  <c r="C14" i="16"/>
  <c r="C16" i="16" s="1"/>
  <c r="D12" i="16"/>
  <c r="D14" i="16" l="1"/>
  <c r="D16" i="16" s="1"/>
  <c r="E12" i="16"/>
  <c r="F12" i="16" l="1"/>
  <c r="E14" i="16"/>
  <c r="E16" i="16" s="1"/>
  <c r="G12" i="16" l="1"/>
  <c r="F14" i="16"/>
  <c r="F16" i="16" s="1"/>
  <c r="G14" i="16" l="1"/>
  <c r="G16" i="16" s="1"/>
  <c r="H12" i="16"/>
  <c r="H14" i="16" l="1"/>
  <c r="H16" i="16" s="1"/>
  <c r="I12" i="16"/>
  <c r="I14" i="16" l="1"/>
  <c r="I16" i="16" s="1"/>
  <c r="J12" i="16"/>
  <c r="K12" i="16" l="1"/>
  <c r="J14" i="16"/>
  <c r="L12" i="16" l="1"/>
  <c r="K14" i="16"/>
  <c r="K16" i="16" s="1"/>
  <c r="J16" i="16"/>
  <c r="M12" i="16" l="1"/>
  <c r="L14" i="16"/>
  <c r="M14" i="16" l="1"/>
  <c r="M16" i="16" s="1"/>
  <c r="L16" i="16"/>
  <c r="N14" i="16" l="1"/>
  <c r="N16" i="16"/>
  <c r="C13" i="17" s="1"/>
  <c r="D13" i="17" s="1"/>
  <c r="C12" i="17" l="1"/>
  <c r="D12" i="17" s="1"/>
</calcChain>
</file>

<file path=xl/comments1.xml><?xml version="1.0" encoding="utf-8"?>
<comments xmlns="http://schemas.openxmlformats.org/spreadsheetml/2006/main">
  <authors>
    <author>.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ver fórmula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dado apenas para cálculo.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>ver fórmula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ver fórmula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<sst xmlns="http://schemas.openxmlformats.org/spreadsheetml/2006/main" count="387" uniqueCount="142">
  <si>
    <t>ALÍQUOTAS</t>
  </si>
  <si>
    <t>COMISSÃO</t>
  </si>
  <si>
    <t>PIS</t>
  </si>
  <si>
    <t>COFINS</t>
  </si>
  <si>
    <t>P.VENDA</t>
  </si>
  <si>
    <t xml:space="preserve">DADOS </t>
  </si>
  <si>
    <t>% DEBITO ICMS</t>
  </si>
  <si>
    <t>% COMISSÃO</t>
  </si>
  <si>
    <t>% PIS</t>
  </si>
  <si>
    <t>% COFINS</t>
  </si>
  <si>
    <t>C.FINANCEIRO MENSAL</t>
  </si>
  <si>
    <t xml:space="preserve">FATOR DIÁRIO </t>
  </si>
  <si>
    <t>% M.CONTRIBUIÇÃO</t>
  </si>
  <si>
    <t>ATINGIDA</t>
  </si>
  <si>
    <t>NOMINAL</t>
  </si>
  <si>
    <t>PRAZO</t>
  </si>
  <si>
    <t>REAL</t>
  </si>
  <si>
    <t>DEBITO ICMS</t>
  </si>
  <si>
    <t>M.CONTRIBUIÇÃO</t>
  </si>
  <si>
    <t>% M. CONTRIBUIÇÃO</t>
  </si>
  <si>
    <t>TOTAL</t>
  </si>
  <si>
    <t>PRODUTOS</t>
  </si>
  <si>
    <t>A</t>
  </si>
  <si>
    <t>B</t>
  </si>
  <si>
    <t>C</t>
  </si>
  <si>
    <t>D</t>
  </si>
  <si>
    <t xml:space="preserve">CREDITO ICMS </t>
  </si>
  <si>
    <t xml:space="preserve">% CREDITO ICMS </t>
  </si>
  <si>
    <t>MOD</t>
  </si>
  <si>
    <t xml:space="preserve">RECEITAS OPERACIONAIS E MARGENS DE CONTRIBUIÇÃO </t>
  </si>
  <si>
    <t>% cresc.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</si>
  <si>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</si>
  <si>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</si>
  <si>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</si>
  <si>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</si>
  <si>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</si>
  <si>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</si>
  <si>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</si>
  <si>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</si>
  <si>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</si>
  <si>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</si>
  <si>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</si>
  <si>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</si>
  <si>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PREVISTO</t>
  </si>
  <si>
    <t>Previsto</t>
  </si>
  <si>
    <t xml:space="preserve">RECEITAS </t>
  </si>
  <si>
    <t>Produto A</t>
  </si>
  <si>
    <t>Produto B</t>
  </si>
  <si>
    <t>Produto C</t>
  </si>
  <si>
    <t>Produto D</t>
  </si>
  <si>
    <t xml:space="preserve"> M.CONTRIB.</t>
  </si>
  <si>
    <t>% M.CONTRIB.</t>
  </si>
  <si>
    <t>Ano</t>
  </si>
  <si>
    <t>VAR.%</t>
  </si>
  <si>
    <t>Atual</t>
  </si>
  <si>
    <t>Anterior</t>
  </si>
  <si>
    <t>INVESTIMENTOS</t>
  </si>
  <si>
    <t>Equipamentos</t>
  </si>
  <si>
    <t>Imobilizado Geral</t>
  </si>
  <si>
    <t xml:space="preserve">ANÁLISE DOS RESULTADOS </t>
  </si>
  <si>
    <t xml:space="preserve">LUCRO LÍQUIDO </t>
  </si>
  <si>
    <t>INDICADORES DE RESULTADO E RENTABILIDADE : TOTAL EMPRESA</t>
  </si>
  <si>
    <t xml:space="preserve">PATRIMÔNIO LÍQUIDO </t>
  </si>
  <si>
    <t>1. ANÁLISE DOS ÍNDICES DE RENTABILIDADE</t>
  </si>
  <si>
    <t>%</t>
  </si>
  <si>
    <t>OBJETIVO</t>
  </si>
  <si>
    <t>REALIZADO</t>
  </si>
  <si>
    <t>VARIAÇÃO</t>
  </si>
  <si>
    <t>RETORNO/P.LÍQUIDO</t>
  </si>
  <si>
    <t>LUCRAT./FATURAMENTO</t>
  </si>
  <si>
    <t>2. ANÁLISE DA PARTICIPAÇÃO DE MERCADO</t>
  </si>
  <si>
    <t>ATUAL</t>
  </si>
  <si>
    <t>13 a 14</t>
  </si>
  <si>
    <t>E</t>
  </si>
  <si>
    <t>Produto E</t>
  </si>
  <si>
    <t>Custos Indiretos</t>
  </si>
  <si>
    <t>MOI - Salários</t>
  </si>
  <si>
    <t>MOI - Encargos e benefícios</t>
  </si>
  <si>
    <t>Total MOI normal</t>
  </si>
  <si>
    <t>depreciação</t>
  </si>
  <si>
    <t>aluguel</t>
  </si>
  <si>
    <t>Total CIF</t>
  </si>
  <si>
    <t>Total custos indiretos</t>
  </si>
  <si>
    <t>Despesas Indiretas</t>
  </si>
  <si>
    <t>Pessoal</t>
  </si>
  <si>
    <t>Administrativas</t>
  </si>
  <si>
    <t>Financeiras</t>
  </si>
  <si>
    <t>Total Despesas Indiretas</t>
  </si>
  <si>
    <t>CMV</t>
  </si>
  <si>
    <t>Custos e Despesas Indiretas</t>
  </si>
  <si>
    <t>IRPJ ADICIONAL</t>
  </si>
  <si>
    <t>MARGEM DE CONTRIBUIÇÃO</t>
  </si>
  <si>
    <t>em aberto</t>
  </si>
  <si>
    <t xml:space="preserve">Energia elétrica </t>
  </si>
  <si>
    <t>ND</t>
  </si>
  <si>
    <t>MKT</t>
  </si>
  <si>
    <t>elasticidade</t>
  </si>
  <si>
    <t>% participacão atual</t>
  </si>
  <si>
    <t>% participacão futuro</t>
  </si>
  <si>
    <t>mercado total (unidades/ano)</t>
  </si>
  <si>
    <t>faturamento anual</t>
  </si>
  <si>
    <t>margem anual</t>
  </si>
  <si>
    <t>Dados e resultados</t>
  </si>
  <si>
    <t>3. PONTO DE EQUILÍBRIO OPERACIONAL</t>
  </si>
  <si>
    <t>volume atual ( unidades/ano)</t>
  </si>
  <si>
    <t>volume futuro (unidades/ano)</t>
  </si>
  <si>
    <t>CAPITAL DE GIRO UNITÁRIO</t>
  </si>
  <si>
    <t>CONTAS A RECEBER</t>
  </si>
  <si>
    <t>ESTOQUES</t>
  </si>
  <si>
    <t>CONTAS A PAGAR</t>
  </si>
  <si>
    <t xml:space="preserve">FATURAMENTO </t>
  </si>
  <si>
    <t>capital de giro total</t>
  </si>
  <si>
    <t>prazo de venda</t>
  </si>
  <si>
    <t>prazo de compra</t>
  </si>
  <si>
    <t>dias de estoque</t>
  </si>
  <si>
    <t>% IRPJ</t>
  </si>
  <si>
    <t>% CSLL</t>
  </si>
  <si>
    <t>IRPJ</t>
  </si>
  <si>
    <t>CSLL</t>
  </si>
  <si>
    <t xml:space="preserve"> 17 e 14</t>
  </si>
  <si>
    <t xml:space="preserve">Fatores Sazonais </t>
  </si>
  <si>
    <t>CUSTOS E DESPESAS FIXAS</t>
  </si>
  <si>
    <t>Lucro Presumido</t>
  </si>
  <si>
    <t>Lucro Líquido Acumulado presumido</t>
  </si>
  <si>
    <t>1</t>
  </si>
  <si>
    <t>% participacão estimado</t>
  </si>
  <si>
    <t>volume estimado ( unidades/ano)</t>
  </si>
  <si>
    <t>MARCA</t>
  </si>
  <si>
    <t>PV</t>
  </si>
  <si>
    <t>% MERCADO</t>
  </si>
  <si>
    <t>E1</t>
  </si>
  <si>
    <t>E2</t>
  </si>
  <si>
    <t>E3</t>
  </si>
  <si>
    <t>E4</t>
  </si>
  <si>
    <t>E5</t>
  </si>
  <si>
    <t>p.v com impostos</t>
  </si>
  <si>
    <t>Mercado com impostos</t>
  </si>
  <si>
    <t>3 a 4</t>
  </si>
  <si>
    <t>Custo Fixo</t>
  </si>
  <si>
    <t>% margem de Contribuição Média</t>
  </si>
  <si>
    <t>PEO (R$/ano)</t>
  </si>
  <si>
    <t>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</si>
</sst>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000"/>
    <numFmt numFmtId="166" formatCode="_(* #,##0.0_);_(* \(#,##0.0\);_(* &quot;-&quot;??_);_(@_)"/>
    <numFmt numFmtId="167" formatCode="_(* #,##0_);_(* \(#,##0\);_(* &quot;-&quot;??_);_(@_)"/>
    <numFmt numFmtId="168" formatCode="0.0%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CEA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7" fontId="3" fillId="2" borderId="0" xfId="2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3" fillId="2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167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2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38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38" fontId="1" fillId="0" borderId="0" xfId="0" applyNumberFormat="1" applyFont="1"/>
    <xf numFmtId="38" fontId="1" fillId="0" borderId="0" xfId="0" applyNumberFormat="1" applyFont="1" applyBorder="1" applyAlignment="1">
      <alignment horizontal="center"/>
    </xf>
    <xf numFmtId="38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1" applyFont="1" applyAlignment="1">
      <alignment horizontal="center"/>
    </xf>
    <xf numFmtId="49" fontId="3" fillId="2" borderId="0" xfId="2" applyNumberFormat="1" applyFont="1" applyFill="1" applyAlignment="1">
      <alignment horizontal="center"/>
    </xf>
    <xf numFmtId="38" fontId="4" fillId="0" borderId="0" xfId="0" applyNumberFormat="1" applyFont="1" applyAlignment="1">
      <alignment horizontal="center"/>
    </xf>
    <xf numFmtId="38" fontId="3" fillId="0" borderId="0" xfId="0" applyNumberFormat="1" applyFont="1" applyFill="1" applyAlignment="1">
      <alignment horizontal="center"/>
    </xf>
    <xf numFmtId="168" fontId="1" fillId="2" borderId="0" xfId="1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7" fontId="7" fillId="0" borderId="0" xfId="2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10" fillId="0" borderId="0" xfId="0" applyFont="1" applyFill="1"/>
    <xf numFmtId="2" fontId="9" fillId="0" borderId="0" xfId="0" applyNumberFormat="1" applyFont="1" applyFill="1"/>
    <xf numFmtId="165" fontId="9" fillId="2" borderId="0" xfId="0" applyNumberFormat="1" applyFont="1" applyFill="1"/>
    <xf numFmtId="2" fontId="9" fillId="2" borderId="0" xfId="0" applyNumberFormat="1" applyFont="1" applyFill="1"/>
    <xf numFmtId="2" fontId="9" fillId="2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9" fontId="7" fillId="2" borderId="0" xfId="0" applyNumberFormat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0" fontId="7" fillId="2" borderId="0" xfId="0" applyNumberFormat="1" applyFont="1" applyFill="1" applyAlignment="1">
      <alignment horizontal="center"/>
    </xf>
    <xf numFmtId="167" fontId="7" fillId="2" borderId="0" xfId="2" applyNumberFormat="1" applyFont="1" applyFill="1" applyAlignment="1"/>
    <xf numFmtId="168" fontId="7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168" fontId="11" fillId="2" borderId="0" xfId="0" applyNumberFormat="1" applyFont="1" applyFill="1" applyAlignment="1">
      <alignment horizontal="center"/>
    </xf>
    <xf numFmtId="164" fontId="3" fillId="3" borderId="0" xfId="2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" fillId="0" borderId="0" xfId="2" applyFont="1" applyAlignment="1">
      <alignment horizontal="center"/>
    </xf>
    <xf numFmtId="168" fontId="1" fillId="0" borderId="0" xfId="1" applyNumberFormat="1" applyFont="1" applyAlignment="1">
      <alignment horizontal="center"/>
    </xf>
    <xf numFmtId="167" fontId="15" fillId="4" borderId="0" xfId="2" applyNumberFormat="1" applyFont="1" applyFill="1" applyAlignment="1">
      <alignment horizontal="center"/>
    </xf>
    <xf numFmtId="166" fontId="15" fillId="2" borderId="0" xfId="2" applyNumberFormat="1" applyFont="1" applyFill="1" applyAlignment="1">
      <alignment horizontal="center"/>
    </xf>
    <xf numFmtId="168" fontId="15" fillId="2" borderId="0" xfId="1" applyNumberFormat="1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CEA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opLeftCell="A24" workbookViewId="0">
      <selection activeCell="E3" sqref="E3"/>
    </sheetView>
  </sheetViews>
  <sheetFormatPr defaultColWidth="11.42578125" defaultRowHeight="15" x14ac:dyDescent="0.2"/>
  <cols>
    <col min="1" max="1" width="37.140625" style="32" bestFit="1" customWidth="1"/>
    <col min="2" max="2" width="12.85546875" style="32" bestFit="1" customWidth="1"/>
    <col min="3" max="3" width="33.42578125" style="32" bestFit="1" customWidth="1"/>
    <col min="4" max="4" width="8.28515625" style="32" bestFit="1" customWidth="1"/>
    <col min="5" max="5" width="27.28515625" style="32" bestFit="1" customWidth="1"/>
    <col min="6" max="252" width="9.140625" style="32" customWidth="1"/>
    <col min="253" max="16384" width="11.42578125" style="32"/>
  </cols>
  <sheetData>
    <row r="1" spans="1:5" ht="15.75" x14ac:dyDescent="0.25">
      <c r="A1" s="31" t="s">
        <v>0</v>
      </c>
      <c r="C1" s="31" t="s">
        <v>5</v>
      </c>
      <c r="E1" s="34" t="s">
        <v>136</v>
      </c>
    </row>
    <row r="2" spans="1:5" x14ac:dyDescent="0.2">
      <c r="A2" s="32" t="s">
        <v>27</v>
      </c>
      <c r="B2" s="54">
        <v>18</v>
      </c>
      <c r="C2" s="32" t="s">
        <v>135</v>
      </c>
      <c r="D2" s="32">
        <v>26</v>
      </c>
      <c r="E2" s="54" t="s">
        <v>141</v>
      </c>
    </row>
    <row r="3" spans="1:5" x14ac:dyDescent="0.2">
      <c r="A3" s="32" t="s">
        <v>6</v>
      </c>
      <c r="B3" s="54">
        <v>12</v>
      </c>
      <c r="C3" s="32" t="s">
        <v>88</v>
      </c>
      <c r="D3" s="54">
        <v>10</v>
      </c>
      <c r="E3" s="54"/>
    </row>
    <row r="4" spans="1:5" x14ac:dyDescent="0.2">
      <c r="A4" s="32" t="s">
        <v>7</v>
      </c>
      <c r="B4" s="54">
        <v>1</v>
      </c>
      <c r="C4" s="32" t="s">
        <v>112</v>
      </c>
      <c r="D4" s="32">
        <v>0</v>
      </c>
      <c r="E4" s="54" t="s">
        <v>94</v>
      </c>
    </row>
    <row r="5" spans="1:5" x14ac:dyDescent="0.2">
      <c r="A5" s="32" t="s">
        <v>8</v>
      </c>
      <c r="B5" s="55">
        <v>0.65</v>
      </c>
      <c r="C5" s="32" t="s">
        <v>113</v>
      </c>
      <c r="D5" s="32">
        <v>60</v>
      </c>
      <c r="E5" s="54" t="s">
        <v>94</v>
      </c>
    </row>
    <row r="6" spans="1:5" x14ac:dyDescent="0.2">
      <c r="A6" s="32" t="s">
        <v>9</v>
      </c>
      <c r="B6" s="55">
        <v>3</v>
      </c>
      <c r="C6" s="32" t="s">
        <v>114</v>
      </c>
      <c r="D6" s="32">
        <v>15</v>
      </c>
      <c r="E6" s="54" t="s">
        <v>94</v>
      </c>
    </row>
    <row r="7" spans="1:5" x14ac:dyDescent="0.2">
      <c r="A7" s="32" t="s">
        <v>115</v>
      </c>
      <c r="B7" s="55">
        <v>1.2</v>
      </c>
    </row>
    <row r="8" spans="1:5" x14ac:dyDescent="0.2">
      <c r="A8" s="32" t="s">
        <v>116</v>
      </c>
      <c r="B8" s="55">
        <v>1.08</v>
      </c>
      <c r="C8" s="56"/>
      <c r="D8" s="56"/>
    </row>
    <row r="9" spans="1:5" x14ac:dyDescent="0.2">
      <c r="B9" s="57"/>
    </row>
    <row r="10" spans="1:5" x14ac:dyDescent="0.2">
      <c r="A10" s="32" t="s">
        <v>10</v>
      </c>
      <c r="B10" s="54">
        <v>1</v>
      </c>
      <c r="C10" s="32" t="s">
        <v>12</v>
      </c>
      <c r="D10" s="43"/>
    </row>
    <row r="11" spans="1:5" x14ac:dyDescent="0.2">
      <c r="A11" s="32" t="s">
        <v>11</v>
      </c>
      <c r="B11" s="58">
        <f>(B10/100+1)^(1/30)</f>
        <v>1.0003317327062342</v>
      </c>
      <c r="C11" s="32" t="s">
        <v>13</v>
      </c>
      <c r="D11" s="42">
        <f>D25</f>
        <v>48.673998099733886</v>
      </c>
    </row>
    <row r="13" spans="1:5" ht="15.75" x14ac:dyDescent="0.25">
      <c r="B13" s="31" t="s">
        <v>14</v>
      </c>
      <c r="C13" s="31" t="s">
        <v>15</v>
      </c>
      <c r="D13" s="31" t="s">
        <v>16</v>
      </c>
    </row>
    <row r="14" spans="1:5" x14ac:dyDescent="0.2">
      <c r="A14" s="32" t="s">
        <v>4</v>
      </c>
      <c r="B14" s="42">
        <f>D2</f>
        <v>26</v>
      </c>
      <c r="C14" s="44">
        <f>D4</f>
        <v>0</v>
      </c>
      <c r="D14" s="42">
        <f t="shared" ref="D14:D23" si="0">B14/($B$11^C14)</f>
        <v>26</v>
      </c>
    </row>
    <row r="15" spans="1:5" x14ac:dyDescent="0.2">
      <c r="A15" s="32" t="s">
        <v>88</v>
      </c>
      <c r="B15" s="42">
        <f>-D3</f>
        <v>-10</v>
      </c>
      <c r="C15" s="44">
        <f>D5</f>
        <v>60</v>
      </c>
      <c r="D15" s="42">
        <f t="shared" si="0"/>
        <v>-9.8029604940691897</v>
      </c>
    </row>
    <row r="16" spans="1:5" x14ac:dyDescent="0.2">
      <c r="A16" s="32" t="s">
        <v>1</v>
      </c>
      <c r="B16" s="42">
        <f>-B14*B4/100</f>
        <v>-0.26</v>
      </c>
      <c r="C16" s="45"/>
      <c r="D16" s="42">
        <f t="shared" si="0"/>
        <v>-0.26</v>
      </c>
    </row>
    <row r="17" spans="1:4" x14ac:dyDescent="0.2">
      <c r="A17" s="32" t="s">
        <v>28</v>
      </c>
      <c r="B17" s="42">
        <v>-0.42</v>
      </c>
      <c r="C17" s="46"/>
      <c r="D17" s="42">
        <f t="shared" si="0"/>
        <v>-0.42</v>
      </c>
    </row>
    <row r="18" spans="1:4" x14ac:dyDescent="0.2">
      <c r="A18" s="32" t="s">
        <v>26</v>
      </c>
      <c r="B18" s="42">
        <f>-B15*B2/100</f>
        <v>1.8</v>
      </c>
      <c r="C18" s="45"/>
      <c r="D18" s="42">
        <f t="shared" si="0"/>
        <v>1.8</v>
      </c>
    </row>
    <row r="19" spans="1:4" x14ac:dyDescent="0.2">
      <c r="A19" s="32" t="s">
        <v>17</v>
      </c>
      <c r="B19" s="42">
        <f>-B14*B3/100</f>
        <v>-3.12</v>
      </c>
      <c r="C19" s="45"/>
      <c r="D19" s="42">
        <f t="shared" si="0"/>
        <v>-3.12</v>
      </c>
    </row>
    <row r="20" spans="1:4" x14ac:dyDescent="0.2">
      <c r="A20" s="32" t="s">
        <v>2</v>
      </c>
      <c r="B20" s="42">
        <f>-B14*B5/100</f>
        <v>-0.16900000000000001</v>
      </c>
      <c r="C20" s="45"/>
      <c r="D20" s="42">
        <f t="shared" si="0"/>
        <v>-0.16900000000000001</v>
      </c>
    </row>
    <row r="21" spans="1:4" x14ac:dyDescent="0.2">
      <c r="A21" s="32" t="s">
        <v>3</v>
      </c>
      <c r="B21" s="42">
        <f>-B14*B6/100</f>
        <v>-0.78</v>
      </c>
      <c r="C21" s="45"/>
      <c r="D21" s="42">
        <f t="shared" si="0"/>
        <v>-0.78</v>
      </c>
    </row>
    <row r="22" spans="1:4" x14ac:dyDescent="0.2">
      <c r="A22" s="32" t="s">
        <v>117</v>
      </c>
      <c r="B22" s="42">
        <f>-B14*B7/100</f>
        <v>-0.312</v>
      </c>
      <c r="C22" s="45"/>
      <c r="D22" s="42">
        <f t="shared" si="0"/>
        <v>-0.312</v>
      </c>
    </row>
    <row r="23" spans="1:4" x14ac:dyDescent="0.2">
      <c r="A23" s="32" t="s">
        <v>118</v>
      </c>
      <c r="B23" s="42">
        <f>-B14*B8/100</f>
        <v>-0.28079999999999999</v>
      </c>
      <c r="D23" s="42">
        <f t="shared" si="0"/>
        <v>-0.28079999999999999</v>
      </c>
    </row>
    <row r="24" spans="1:4" x14ac:dyDescent="0.2">
      <c r="A24" s="32" t="s">
        <v>18</v>
      </c>
      <c r="B24" s="42">
        <f>SUM(B14:B23)</f>
        <v>12.458200000000001</v>
      </c>
      <c r="C24" s="43"/>
      <c r="D24" s="42">
        <f>SUM(D14:D23)</f>
        <v>12.655239505930812</v>
      </c>
    </row>
    <row r="25" spans="1:4" x14ac:dyDescent="0.2">
      <c r="A25" s="32" t="s">
        <v>19</v>
      </c>
      <c r="B25" s="44">
        <f>(B24/B14)*100</f>
        <v>47.916153846153854</v>
      </c>
      <c r="C25" s="43"/>
      <c r="D25" s="42">
        <f>(D24/D14)*100</f>
        <v>48.673998099733886</v>
      </c>
    </row>
    <row r="26" spans="1:4" x14ac:dyDescent="0.2">
      <c r="B26" s="45"/>
      <c r="C26" s="43"/>
      <c r="D26" s="43"/>
    </row>
    <row r="27" spans="1:4" ht="15.75" x14ac:dyDescent="0.25">
      <c r="A27" s="31" t="s">
        <v>106</v>
      </c>
      <c r="C27" s="43"/>
      <c r="D27" s="43"/>
    </row>
    <row r="28" spans="1:4" x14ac:dyDescent="0.2">
      <c r="A28" s="32" t="s">
        <v>107</v>
      </c>
      <c r="B28" s="42">
        <f>-(B14*C14)/30</f>
        <v>0</v>
      </c>
      <c r="C28" s="43"/>
      <c r="D28" s="43"/>
    </row>
    <row r="29" spans="1:4" x14ac:dyDescent="0.2">
      <c r="A29" s="32" t="s">
        <v>108</v>
      </c>
      <c r="B29" s="42">
        <f>(B15*D6)/30</f>
        <v>-5</v>
      </c>
      <c r="C29" s="43"/>
      <c r="D29" s="43"/>
    </row>
    <row r="30" spans="1:4" x14ac:dyDescent="0.2">
      <c r="A30" s="32" t="s">
        <v>109</v>
      </c>
      <c r="B30" s="42">
        <f>-(B15*C15)/30</f>
        <v>20</v>
      </c>
      <c r="C30" s="43"/>
      <c r="D30" s="43"/>
    </row>
    <row r="31" spans="1:4" x14ac:dyDescent="0.2">
      <c r="A31" s="32" t="s">
        <v>20</v>
      </c>
      <c r="B31" s="42">
        <f>SUM(B28:B30)</f>
        <v>15</v>
      </c>
      <c r="C31" s="43"/>
      <c r="D31" s="43"/>
    </row>
    <row r="32" spans="1:4" x14ac:dyDescent="0.2">
      <c r="C32" s="43"/>
      <c r="D32" s="43"/>
    </row>
    <row r="33" spans="1:4" ht="15.75" x14ac:dyDescent="0.25">
      <c r="A33" s="34" t="s">
        <v>102</v>
      </c>
      <c r="B33" s="43"/>
      <c r="D33" s="43"/>
    </row>
    <row r="34" spans="1:4" ht="15.75" x14ac:dyDescent="0.25">
      <c r="A34" s="34" t="s">
        <v>99</v>
      </c>
      <c r="B34" s="47">
        <v>150000</v>
      </c>
      <c r="D34" s="43"/>
    </row>
    <row r="35" spans="1:4" ht="15.75" x14ac:dyDescent="0.25">
      <c r="A35" s="34" t="s">
        <v>97</v>
      </c>
      <c r="B35" s="48">
        <v>1</v>
      </c>
      <c r="D35" s="43"/>
    </row>
    <row r="36" spans="1:4" ht="15.75" x14ac:dyDescent="0.25">
      <c r="A36" s="34" t="s">
        <v>104</v>
      </c>
      <c r="B36" s="49">
        <f>B34*B35</f>
        <v>150000</v>
      </c>
      <c r="D36" s="43"/>
    </row>
    <row r="37" spans="1:4" ht="15.75" x14ac:dyDescent="0.25">
      <c r="A37" s="34" t="s">
        <v>96</v>
      </c>
      <c r="B37" s="50">
        <v>1</v>
      </c>
      <c r="D37" s="43"/>
    </row>
    <row r="38" spans="1:4" ht="15.75" x14ac:dyDescent="0.25">
      <c r="A38" s="34" t="s">
        <v>105</v>
      </c>
      <c r="B38" s="49">
        <f>B36-(((B14/22)-1)*B37)*B36</f>
        <v>122727.27272727272</v>
      </c>
      <c r="D38" s="43"/>
    </row>
    <row r="39" spans="1:4" ht="15.75" x14ac:dyDescent="0.25">
      <c r="A39" s="34"/>
      <c r="B39" s="49"/>
      <c r="D39" s="43"/>
    </row>
    <row r="40" spans="1:4" ht="15.75" x14ac:dyDescent="0.25">
      <c r="A40" s="34" t="s">
        <v>98</v>
      </c>
      <c r="B40" s="51">
        <f>B38/B34</f>
        <v>0.81818181818181812</v>
      </c>
      <c r="D40" s="43"/>
    </row>
    <row r="41" spans="1:4" ht="15.75" x14ac:dyDescent="0.25">
      <c r="A41" s="34" t="s">
        <v>100</v>
      </c>
      <c r="B41" s="49">
        <f>B38*D14</f>
        <v>3190909.0909090908</v>
      </c>
      <c r="D41" s="43"/>
    </row>
    <row r="42" spans="1:4" ht="15.75" x14ac:dyDescent="0.25">
      <c r="A42" s="34" t="s">
        <v>101</v>
      </c>
      <c r="B42" s="49">
        <f>D24*B38</f>
        <v>1553143.0302733269</v>
      </c>
      <c r="D42" s="43"/>
    </row>
    <row r="43" spans="1:4" ht="15.75" x14ac:dyDescent="0.25">
      <c r="A43" s="34" t="s">
        <v>111</v>
      </c>
      <c r="B43" s="30">
        <f>B31*B38/12</f>
        <v>153409.09090909091</v>
      </c>
      <c r="D43" s="43"/>
    </row>
    <row r="44" spans="1:4" x14ac:dyDescent="0.2">
      <c r="B44" s="43"/>
      <c r="D44" s="43"/>
    </row>
    <row r="45" spans="1:4" x14ac:dyDescent="0.2">
      <c r="B45" s="43"/>
    </row>
    <row r="46" spans="1:4" x14ac:dyDescent="0.2">
      <c r="B46" s="43"/>
    </row>
    <row r="47" spans="1:4" x14ac:dyDescent="0.2">
      <c r="B47" s="43"/>
    </row>
    <row r="48" spans="1:4" x14ac:dyDescent="0.2">
      <c r="B48" s="43"/>
    </row>
    <row r="49" spans="2:2" x14ac:dyDescent="0.2">
      <c r="B49" s="43"/>
    </row>
    <row r="50" spans="2:2" x14ac:dyDescent="0.2">
      <c r="B50" s="43"/>
    </row>
    <row r="51" spans="2:2" x14ac:dyDescent="0.2">
      <c r="B51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  <row r="61" spans="2:2" x14ac:dyDescent="0.2">
      <c r="B61" s="43"/>
    </row>
    <row r="62" spans="2:2" x14ac:dyDescent="0.2">
      <c r="B62" s="43"/>
    </row>
    <row r="63" spans="2:2" x14ac:dyDescent="0.2">
      <c r="B63" s="43"/>
    </row>
    <row r="64" spans="2:2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43"/>
    </row>
    <row r="75" spans="2:2" x14ac:dyDescent="0.2">
      <c r="B75" s="43"/>
    </row>
    <row r="76" spans="2:2" x14ac:dyDescent="0.2">
      <c r="B76" s="43"/>
    </row>
    <row r="77" spans="2:2" x14ac:dyDescent="0.2">
      <c r="B77" s="43"/>
    </row>
    <row r="78" spans="2:2" x14ac:dyDescent="0.2">
      <c r="B78" s="43"/>
    </row>
    <row r="79" spans="2:2" x14ac:dyDescent="0.2">
      <c r="B79" s="43"/>
    </row>
    <row r="80" spans="2:2" x14ac:dyDescent="0.2">
      <c r="B80" s="43"/>
    </row>
    <row r="81" spans="2:2" x14ac:dyDescent="0.2">
      <c r="B81" s="43"/>
    </row>
    <row r="82" spans="2:2" x14ac:dyDescent="0.2">
      <c r="B82" s="43"/>
    </row>
    <row r="83" spans="2:2" x14ac:dyDescent="0.2">
      <c r="B83" s="43"/>
    </row>
    <row r="84" spans="2:2" x14ac:dyDescent="0.2">
      <c r="B84" s="43"/>
    </row>
    <row r="85" spans="2:2" x14ac:dyDescent="0.2">
      <c r="B85" s="43"/>
    </row>
    <row r="86" spans="2:2" x14ac:dyDescent="0.2">
      <c r="B86" s="43"/>
    </row>
    <row r="87" spans="2:2" x14ac:dyDescent="0.2">
      <c r="B87" s="43"/>
    </row>
    <row r="88" spans="2:2" x14ac:dyDescent="0.2">
      <c r="B88" s="43"/>
    </row>
    <row r="89" spans="2:2" x14ac:dyDescent="0.2">
      <c r="B89" s="43"/>
    </row>
    <row r="90" spans="2:2" x14ac:dyDescent="0.2">
      <c r="B90" s="43"/>
    </row>
    <row r="91" spans="2:2" x14ac:dyDescent="0.2">
      <c r="B91" s="43"/>
    </row>
    <row r="92" spans="2:2" x14ac:dyDescent="0.2">
      <c r="B92" s="43"/>
    </row>
    <row r="93" spans="2:2" x14ac:dyDescent="0.2">
      <c r="B93" s="43"/>
    </row>
    <row r="94" spans="2:2" x14ac:dyDescent="0.2">
      <c r="B94" s="43"/>
    </row>
    <row r="95" spans="2:2" x14ac:dyDescent="0.2">
      <c r="B95" s="43"/>
    </row>
    <row r="96" spans="2:2" x14ac:dyDescent="0.2">
      <c r="B96" s="43"/>
    </row>
    <row r="97" spans="2:2" x14ac:dyDescent="0.2">
      <c r="B97" s="43"/>
    </row>
    <row r="98" spans="2:2" x14ac:dyDescent="0.2">
      <c r="B98" s="43"/>
    </row>
    <row r="99" spans="2:2" x14ac:dyDescent="0.2">
      <c r="B99" s="43"/>
    </row>
    <row r="100" spans="2:2" x14ac:dyDescent="0.2">
      <c r="B100" s="43"/>
    </row>
    <row r="101" spans="2:2" x14ac:dyDescent="0.2">
      <c r="B101" s="43"/>
    </row>
    <row r="102" spans="2:2" x14ac:dyDescent="0.2">
      <c r="B102" s="43"/>
    </row>
    <row r="103" spans="2:2" x14ac:dyDescent="0.2">
      <c r="B103" s="43"/>
    </row>
    <row r="104" spans="2:2" x14ac:dyDescent="0.2">
      <c r="B104" s="43"/>
    </row>
    <row r="105" spans="2:2" x14ac:dyDescent="0.2">
      <c r="B105" s="43"/>
    </row>
    <row r="106" spans="2:2" x14ac:dyDescent="0.2">
      <c r="B106" s="43"/>
    </row>
    <row r="107" spans="2:2" x14ac:dyDescent="0.2">
      <c r="B107" s="43"/>
    </row>
    <row r="108" spans="2:2" x14ac:dyDescent="0.2">
      <c r="B108" s="43"/>
    </row>
    <row r="109" spans="2:2" x14ac:dyDescent="0.2">
      <c r="B109" s="43"/>
    </row>
    <row r="110" spans="2:2" x14ac:dyDescent="0.2">
      <c r="B110" s="43"/>
    </row>
    <row r="111" spans="2:2" x14ac:dyDescent="0.2">
      <c r="B111" s="43"/>
    </row>
    <row r="112" spans="2:2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3"/>
    </row>
    <row r="117" spans="2:2" x14ac:dyDescent="0.2">
      <c r="B117" s="43"/>
    </row>
    <row r="118" spans="2:2" x14ac:dyDescent="0.2">
      <c r="B118" s="43"/>
    </row>
    <row r="119" spans="2:2" x14ac:dyDescent="0.2">
      <c r="B119" s="43"/>
    </row>
    <row r="120" spans="2:2" x14ac:dyDescent="0.2">
      <c r="B120" s="43"/>
    </row>
    <row r="121" spans="2:2" x14ac:dyDescent="0.2">
      <c r="B121" s="43"/>
    </row>
    <row r="122" spans="2:2" x14ac:dyDescent="0.2">
      <c r="B122" s="43"/>
    </row>
    <row r="123" spans="2:2" x14ac:dyDescent="0.2">
      <c r="B123" s="43"/>
    </row>
    <row r="124" spans="2:2" x14ac:dyDescent="0.2">
      <c r="B124" s="43"/>
    </row>
    <row r="125" spans="2:2" x14ac:dyDescent="0.2">
      <c r="B125" s="43"/>
    </row>
    <row r="126" spans="2:2" x14ac:dyDescent="0.2">
      <c r="B126" s="43"/>
    </row>
    <row r="127" spans="2:2" x14ac:dyDescent="0.2">
      <c r="B127" s="43"/>
    </row>
    <row r="128" spans="2:2" x14ac:dyDescent="0.2">
      <c r="B128" s="43"/>
    </row>
    <row r="129" spans="2:2" x14ac:dyDescent="0.2">
      <c r="B129" s="43"/>
    </row>
  </sheetData>
  <phoneticPr fontId="0" type="noConversion"/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2"/>
  <sheetViews>
    <sheetView workbookViewId="0">
      <selection activeCell="B13" sqref="B13"/>
    </sheetView>
  </sheetViews>
  <sheetFormatPr defaultRowHeight="20.25" x14ac:dyDescent="0.3"/>
  <cols>
    <col min="1" max="1" width="9.140625" style="63"/>
    <col min="2" max="2" width="19.85546875" style="63" customWidth="1"/>
    <col min="3" max="3" width="9.140625" style="63"/>
    <col min="4" max="4" width="21.42578125" style="63" customWidth="1"/>
    <col min="5" max="16384" width="9.140625" style="63"/>
  </cols>
  <sheetData>
    <row r="6" spans="1:4" x14ac:dyDescent="0.3">
      <c r="B6" s="63" t="s">
        <v>127</v>
      </c>
      <c r="C6" s="63" t="s">
        <v>128</v>
      </c>
      <c r="D6" s="63" t="s">
        <v>129</v>
      </c>
    </row>
    <row r="8" spans="1:4" x14ac:dyDescent="0.3">
      <c r="B8" s="65" t="s">
        <v>130</v>
      </c>
    </row>
    <row r="9" spans="1:4" x14ac:dyDescent="0.3">
      <c r="A9" s="65" t="s">
        <v>131</v>
      </c>
      <c r="B9" s="63" t="s">
        <v>22</v>
      </c>
      <c r="C9" s="63">
        <v>17</v>
      </c>
      <c r="D9" s="64">
        <v>0.3</v>
      </c>
    </row>
    <row r="10" spans="1:4" x14ac:dyDescent="0.3">
      <c r="B10" s="65" t="s">
        <v>132</v>
      </c>
    </row>
    <row r="11" spans="1:4" x14ac:dyDescent="0.3">
      <c r="A11" s="65" t="s">
        <v>133</v>
      </c>
      <c r="B11" s="63" t="s">
        <v>23</v>
      </c>
      <c r="C11" s="63">
        <v>14</v>
      </c>
      <c r="D11" s="64">
        <v>0.7</v>
      </c>
    </row>
    <row r="12" spans="1:4" x14ac:dyDescent="0.3">
      <c r="B12" s="65" t="s">
        <v>134</v>
      </c>
    </row>
  </sheetData>
  <phoneticPr fontId="14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opLeftCell="A26" workbookViewId="0">
      <selection activeCell="D3" sqref="D3"/>
    </sheetView>
  </sheetViews>
  <sheetFormatPr defaultColWidth="11.42578125" defaultRowHeight="15" x14ac:dyDescent="0.2"/>
  <cols>
    <col min="1" max="1" width="37.140625" style="32" bestFit="1" customWidth="1"/>
    <col min="2" max="2" width="13.7109375" style="32" bestFit="1" customWidth="1"/>
    <col min="3" max="3" width="23.5703125" style="32" bestFit="1" customWidth="1"/>
    <col min="4" max="4" width="8.28515625" style="32" bestFit="1" customWidth="1"/>
    <col min="5" max="5" width="27.28515625" style="32" bestFit="1" customWidth="1"/>
    <col min="6" max="252" width="9.140625" style="32" customWidth="1"/>
    <col min="253" max="16384" width="11.42578125" style="32"/>
  </cols>
  <sheetData>
    <row r="1" spans="1:5" ht="15.75" x14ac:dyDescent="0.25">
      <c r="A1" s="31" t="s">
        <v>0</v>
      </c>
      <c r="C1" s="31" t="s">
        <v>5</v>
      </c>
      <c r="E1" s="34" t="s">
        <v>136</v>
      </c>
    </row>
    <row r="2" spans="1:5" x14ac:dyDescent="0.2">
      <c r="A2" s="32" t="s">
        <v>27</v>
      </c>
      <c r="B2" s="54">
        <v>18</v>
      </c>
      <c r="C2" s="32" t="s">
        <v>135</v>
      </c>
      <c r="D2" s="32">
        <v>12</v>
      </c>
      <c r="E2" s="54">
        <v>13.5</v>
      </c>
    </row>
    <row r="3" spans="1:5" x14ac:dyDescent="0.2">
      <c r="A3" s="32" t="s">
        <v>6</v>
      </c>
      <c r="B3" s="54">
        <v>12</v>
      </c>
      <c r="C3" s="32" t="s">
        <v>88</v>
      </c>
      <c r="D3" s="54">
        <v>8.5</v>
      </c>
      <c r="E3" s="54"/>
    </row>
    <row r="4" spans="1:5" x14ac:dyDescent="0.2">
      <c r="A4" s="32" t="s">
        <v>7</v>
      </c>
      <c r="B4" s="54">
        <v>1</v>
      </c>
      <c r="C4" s="32" t="s">
        <v>112</v>
      </c>
      <c r="D4" s="32">
        <v>45</v>
      </c>
      <c r="E4" s="54">
        <v>30</v>
      </c>
    </row>
    <row r="5" spans="1:5" x14ac:dyDescent="0.2">
      <c r="A5" s="32" t="s">
        <v>8</v>
      </c>
      <c r="B5" s="55">
        <v>0.65</v>
      </c>
      <c r="C5" s="32" t="s">
        <v>113</v>
      </c>
      <c r="D5" s="32">
        <v>30</v>
      </c>
      <c r="E5" s="54">
        <v>30</v>
      </c>
    </row>
    <row r="6" spans="1:5" x14ac:dyDescent="0.2">
      <c r="A6" s="32" t="s">
        <v>9</v>
      </c>
      <c r="B6" s="55">
        <v>3</v>
      </c>
      <c r="C6" s="32" t="s">
        <v>114</v>
      </c>
      <c r="D6" s="32">
        <v>30</v>
      </c>
      <c r="E6" s="54">
        <v>20</v>
      </c>
    </row>
    <row r="7" spans="1:5" x14ac:dyDescent="0.2">
      <c r="A7" s="32" t="s">
        <v>115</v>
      </c>
      <c r="B7" s="55">
        <v>1.2</v>
      </c>
    </row>
    <row r="8" spans="1:5" x14ac:dyDescent="0.2">
      <c r="A8" s="32" t="s">
        <v>116</v>
      </c>
      <c r="B8" s="55">
        <v>1.08</v>
      </c>
      <c r="C8" s="56"/>
      <c r="D8" s="56"/>
    </row>
    <row r="9" spans="1:5" x14ac:dyDescent="0.2">
      <c r="B9" s="57"/>
    </row>
    <row r="10" spans="1:5" x14ac:dyDescent="0.2">
      <c r="A10" s="32" t="s">
        <v>10</v>
      </c>
      <c r="B10" s="54">
        <v>1</v>
      </c>
      <c r="C10" s="32" t="s">
        <v>12</v>
      </c>
      <c r="D10" s="43"/>
    </row>
    <row r="11" spans="1:5" x14ac:dyDescent="0.2">
      <c r="A11" s="32" t="s">
        <v>11</v>
      </c>
      <c r="B11" s="58">
        <f>(B10/100+1)^(1/30)</f>
        <v>1.0003317327062342</v>
      </c>
      <c r="C11" s="32" t="s">
        <v>13</v>
      </c>
      <c r="D11" s="42">
        <f>D25</f>
        <v>18.987818619802844</v>
      </c>
    </row>
    <row r="13" spans="1:5" ht="15.75" x14ac:dyDescent="0.25">
      <c r="B13" s="31" t="s">
        <v>14</v>
      </c>
      <c r="C13" s="31" t="s">
        <v>15</v>
      </c>
      <c r="D13" s="31" t="s">
        <v>16</v>
      </c>
    </row>
    <row r="14" spans="1:5" x14ac:dyDescent="0.2">
      <c r="A14" s="32" t="s">
        <v>4</v>
      </c>
      <c r="B14" s="42">
        <f>D2</f>
        <v>12</v>
      </c>
      <c r="C14" s="44">
        <f>D4</f>
        <v>45</v>
      </c>
      <c r="D14" s="42">
        <f t="shared" ref="D14:D23" si="0">B14/($B$11^C14)</f>
        <v>11.822224042098863</v>
      </c>
    </row>
    <row r="15" spans="1:5" x14ac:dyDescent="0.2">
      <c r="A15" s="32" t="s">
        <v>88</v>
      </c>
      <c r="B15" s="42">
        <f>-D3</f>
        <v>-8.5</v>
      </c>
      <c r="C15" s="44">
        <f>D5</f>
        <v>30</v>
      </c>
      <c r="D15" s="42">
        <f t="shared" si="0"/>
        <v>-8.4158415841584073</v>
      </c>
    </row>
    <row r="16" spans="1:5" x14ac:dyDescent="0.2">
      <c r="A16" s="32" t="s">
        <v>1</v>
      </c>
      <c r="B16" s="42">
        <f>-B14*B4/100</f>
        <v>-0.12</v>
      </c>
      <c r="C16" s="45"/>
      <c r="D16" s="42">
        <f t="shared" si="0"/>
        <v>-0.12</v>
      </c>
    </row>
    <row r="17" spans="1:4" x14ac:dyDescent="0.2">
      <c r="A17" s="32" t="s">
        <v>28</v>
      </c>
      <c r="B17" s="42">
        <v>-0.42</v>
      </c>
      <c r="C17" s="46"/>
      <c r="D17" s="42">
        <f t="shared" si="0"/>
        <v>-0.42</v>
      </c>
    </row>
    <row r="18" spans="1:4" x14ac:dyDescent="0.2">
      <c r="A18" s="32" t="s">
        <v>26</v>
      </c>
      <c r="B18" s="42">
        <f>-B15*B2/100</f>
        <v>1.53</v>
      </c>
      <c r="C18" s="45"/>
      <c r="D18" s="42">
        <f t="shared" si="0"/>
        <v>1.53</v>
      </c>
    </row>
    <row r="19" spans="1:4" x14ac:dyDescent="0.2">
      <c r="A19" s="32" t="s">
        <v>17</v>
      </c>
      <c r="B19" s="42">
        <f>-B14*B3/100</f>
        <v>-1.44</v>
      </c>
      <c r="C19" s="45"/>
      <c r="D19" s="42">
        <f t="shared" si="0"/>
        <v>-1.44</v>
      </c>
    </row>
    <row r="20" spans="1:4" x14ac:dyDescent="0.2">
      <c r="A20" s="32" t="s">
        <v>2</v>
      </c>
      <c r="B20" s="42">
        <f>-B14*B5/100</f>
        <v>-7.8000000000000014E-2</v>
      </c>
      <c r="C20" s="45"/>
      <c r="D20" s="42">
        <f t="shared" si="0"/>
        <v>-7.8000000000000014E-2</v>
      </c>
    </row>
    <row r="21" spans="1:4" x14ac:dyDescent="0.2">
      <c r="A21" s="32" t="s">
        <v>3</v>
      </c>
      <c r="B21" s="42">
        <f>-B14*B6/100</f>
        <v>-0.36</v>
      </c>
      <c r="C21" s="45"/>
      <c r="D21" s="42">
        <f t="shared" si="0"/>
        <v>-0.36</v>
      </c>
    </row>
    <row r="22" spans="1:4" x14ac:dyDescent="0.2">
      <c r="A22" s="32" t="s">
        <v>117</v>
      </c>
      <c r="B22" s="42">
        <f>-B14*B7/100</f>
        <v>-0.14399999999999999</v>
      </c>
      <c r="C22" s="45"/>
      <c r="D22" s="42">
        <f t="shared" si="0"/>
        <v>-0.14399999999999999</v>
      </c>
    </row>
    <row r="23" spans="1:4" x14ac:dyDescent="0.2">
      <c r="A23" s="32" t="s">
        <v>118</v>
      </c>
      <c r="B23" s="42">
        <f>-B14*B8/100</f>
        <v>-0.12960000000000002</v>
      </c>
      <c r="D23" s="42">
        <f t="shared" si="0"/>
        <v>-0.12960000000000002</v>
      </c>
    </row>
    <row r="24" spans="1:4" x14ac:dyDescent="0.2">
      <c r="A24" s="32" t="s">
        <v>18</v>
      </c>
      <c r="B24" s="42">
        <f>SUM(B14:B23)</f>
        <v>2.3384000000000005</v>
      </c>
      <c r="C24" s="43"/>
      <c r="D24" s="42">
        <f>SUM(D14:D23)</f>
        <v>2.2447824579404565</v>
      </c>
    </row>
    <row r="25" spans="1:4" x14ac:dyDescent="0.2">
      <c r="A25" s="32" t="s">
        <v>19</v>
      </c>
      <c r="B25" s="44">
        <f>(B24/B14)*100</f>
        <v>19.486666666666672</v>
      </c>
      <c r="C25" s="43"/>
      <c r="D25" s="42">
        <f>(D24/D14)*100</f>
        <v>18.987818619802844</v>
      </c>
    </row>
    <row r="26" spans="1:4" x14ac:dyDescent="0.2">
      <c r="B26" s="45"/>
      <c r="C26" s="43"/>
      <c r="D26" s="43"/>
    </row>
    <row r="27" spans="1:4" ht="15.75" x14ac:dyDescent="0.25">
      <c r="A27" s="31" t="s">
        <v>106</v>
      </c>
      <c r="C27" s="43"/>
      <c r="D27" s="43"/>
    </row>
    <row r="28" spans="1:4" x14ac:dyDescent="0.2">
      <c r="A28" s="32" t="s">
        <v>107</v>
      </c>
      <c r="B28" s="42">
        <f>-(B14*C14)/30</f>
        <v>-18</v>
      </c>
      <c r="C28" s="43"/>
      <c r="D28" s="43"/>
    </row>
    <row r="29" spans="1:4" x14ac:dyDescent="0.2">
      <c r="A29" s="32" t="s">
        <v>108</v>
      </c>
      <c r="B29" s="42">
        <f>(B15*D6)/30</f>
        <v>-8.5</v>
      </c>
      <c r="C29" s="43"/>
      <c r="D29" s="43"/>
    </row>
    <row r="30" spans="1:4" x14ac:dyDescent="0.2">
      <c r="A30" s="32" t="s">
        <v>109</v>
      </c>
      <c r="B30" s="42">
        <f>-(B15*C15)/30</f>
        <v>8.5</v>
      </c>
      <c r="C30" s="43"/>
      <c r="D30" s="43"/>
    </row>
    <row r="31" spans="1:4" x14ac:dyDescent="0.2">
      <c r="A31" s="32" t="s">
        <v>20</v>
      </c>
      <c r="B31" s="42">
        <f>SUM(B28:B30)</f>
        <v>-18</v>
      </c>
      <c r="C31" s="43"/>
      <c r="D31" s="43"/>
    </row>
    <row r="32" spans="1:4" x14ac:dyDescent="0.2">
      <c r="C32" s="43"/>
      <c r="D32" s="43"/>
    </row>
    <row r="33" spans="1:4" ht="15.75" x14ac:dyDescent="0.25">
      <c r="A33" s="34" t="s">
        <v>102</v>
      </c>
      <c r="B33" s="43"/>
      <c r="D33" s="43"/>
    </row>
    <row r="34" spans="1:4" ht="15.75" x14ac:dyDescent="0.25">
      <c r="A34" s="34" t="s">
        <v>99</v>
      </c>
      <c r="B34" s="47">
        <v>16000000</v>
      </c>
      <c r="D34" s="43"/>
    </row>
    <row r="35" spans="1:4" ht="15.75" x14ac:dyDescent="0.25">
      <c r="A35" s="34" t="s">
        <v>97</v>
      </c>
      <c r="B35" s="48">
        <v>0.03</v>
      </c>
      <c r="D35" s="43"/>
    </row>
    <row r="36" spans="1:4" ht="15.75" x14ac:dyDescent="0.25">
      <c r="A36" s="34" t="s">
        <v>104</v>
      </c>
      <c r="B36" s="49">
        <f>B34*B35</f>
        <v>480000</v>
      </c>
      <c r="D36" s="43"/>
    </row>
    <row r="37" spans="1:4" ht="15.75" x14ac:dyDescent="0.25">
      <c r="A37" s="34" t="s">
        <v>96</v>
      </c>
      <c r="B37" s="50">
        <v>2</v>
      </c>
      <c r="D37" s="43"/>
    </row>
    <row r="38" spans="1:4" ht="15.75" x14ac:dyDescent="0.25">
      <c r="A38" s="34" t="s">
        <v>105</v>
      </c>
      <c r="B38" s="49">
        <f>B36-(((B14/E2)-1)*B37)*B36</f>
        <v>586666.66666666674</v>
      </c>
      <c r="D38" s="43"/>
    </row>
    <row r="39" spans="1:4" ht="15.75" x14ac:dyDescent="0.25">
      <c r="A39" s="34"/>
      <c r="B39" s="49"/>
      <c r="D39" s="43"/>
    </row>
    <row r="40" spans="1:4" ht="15.75" x14ac:dyDescent="0.25">
      <c r="A40" s="34" t="s">
        <v>98</v>
      </c>
      <c r="B40" s="51">
        <f>B38/B34</f>
        <v>3.6666666666666674E-2</v>
      </c>
      <c r="D40" s="43"/>
    </row>
    <row r="41" spans="1:4" ht="15.75" x14ac:dyDescent="0.25">
      <c r="A41" s="34" t="s">
        <v>100</v>
      </c>
      <c r="B41" s="49">
        <f>B38*D14</f>
        <v>6935704.7713646675</v>
      </c>
      <c r="D41" s="43"/>
    </row>
    <row r="42" spans="1:4" ht="15.75" x14ac:dyDescent="0.25">
      <c r="A42" s="34" t="s">
        <v>101</v>
      </c>
      <c r="B42" s="49">
        <f>D24*B38</f>
        <v>1316939.0419917346</v>
      </c>
      <c r="D42" s="43"/>
    </row>
    <row r="43" spans="1:4" ht="15.75" x14ac:dyDescent="0.25">
      <c r="A43" s="34" t="s">
        <v>111</v>
      </c>
      <c r="B43" s="30">
        <f>B31*B38/12</f>
        <v>-880000.00000000012</v>
      </c>
      <c r="D43" s="43"/>
    </row>
    <row r="44" spans="1:4" x14ac:dyDescent="0.2">
      <c r="B44" s="43"/>
      <c r="D44" s="43"/>
    </row>
    <row r="45" spans="1:4" x14ac:dyDescent="0.2">
      <c r="B45" s="43"/>
    </row>
    <row r="46" spans="1:4" x14ac:dyDescent="0.2">
      <c r="B46" s="43"/>
    </row>
    <row r="47" spans="1:4" x14ac:dyDescent="0.2">
      <c r="B47" s="43"/>
    </row>
    <row r="48" spans="1:4" x14ac:dyDescent="0.2">
      <c r="B48" s="43"/>
    </row>
    <row r="49" spans="2:2" x14ac:dyDescent="0.2">
      <c r="B49" s="43"/>
    </row>
    <row r="50" spans="2:2" x14ac:dyDescent="0.2">
      <c r="B50" s="43"/>
    </row>
    <row r="51" spans="2:2" x14ac:dyDescent="0.2">
      <c r="B51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  <row r="61" spans="2:2" x14ac:dyDescent="0.2">
      <c r="B61" s="43"/>
    </row>
    <row r="62" spans="2:2" x14ac:dyDescent="0.2">
      <c r="B62" s="43"/>
    </row>
    <row r="63" spans="2:2" x14ac:dyDescent="0.2">
      <c r="B63" s="43"/>
    </row>
    <row r="64" spans="2:2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43"/>
    </row>
    <row r="75" spans="2:2" x14ac:dyDescent="0.2">
      <c r="B75" s="43"/>
    </row>
    <row r="76" spans="2:2" x14ac:dyDescent="0.2">
      <c r="B76" s="43"/>
    </row>
    <row r="77" spans="2:2" x14ac:dyDescent="0.2">
      <c r="B77" s="43"/>
    </row>
    <row r="78" spans="2:2" x14ac:dyDescent="0.2">
      <c r="B78" s="43"/>
    </row>
    <row r="79" spans="2:2" x14ac:dyDescent="0.2">
      <c r="B79" s="43"/>
    </row>
    <row r="80" spans="2:2" x14ac:dyDescent="0.2">
      <c r="B80" s="43"/>
    </row>
    <row r="81" spans="2:2" x14ac:dyDescent="0.2">
      <c r="B81" s="43"/>
    </row>
    <row r="82" spans="2:2" x14ac:dyDescent="0.2">
      <c r="B82" s="43"/>
    </row>
    <row r="83" spans="2:2" x14ac:dyDescent="0.2">
      <c r="B83" s="43"/>
    </row>
    <row r="84" spans="2:2" x14ac:dyDescent="0.2">
      <c r="B84" s="43"/>
    </row>
    <row r="85" spans="2:2" x14ac:dyDescent="0.2">
      <c r="B85" s="43"/>
    </row>
    <row r="86" spans="2:2" x14ac:dyDescent="0.2">
      <c r="B86" s="43"/>
    </row>
    <row r="87" spans="2:2" x14ac:dyDescent="0.2">
      <c r="B87" s="43"/>
    </row>
    <row r="88" spans="2:2" x14ac:dyDescent="0.2">
      <c r="B88" s="43"/>
    </row>
    <row r="89" spans="2:2" x14ac:dyDescent="0.2">
      <c r="B89" s="43"/>
    </row>
    <row r="90" spans="2:2" x14ac:dyDescent="0.2">
      <c r="B90" s="43"/>
    </row>
    <row r="91" spans="2:2" x14ac:dyDescent="0.2">
      <c r="B91" s="43"/>
    </row>
    <row r="92" spans="2:2" x14ac:dyDescent="0.2">
      <c r="B92" s="43"/>
    </row>
    <row r="93" spans="2:2" x14ac:dyDescent="0.2">
      <c r="B93" s="43"/>
    </row>
    <row r="94" spans="2:2" x14ac:dyDescent="0.2">
      <c r="B94" s="43"/>
    </row>
    <row r="95" spans="2:2" x14ac:dyDescent="0.2">
      <c r="B95" s="43"/>
    </row>
    <row r="96" spans="2:2" x14ac:dyDescent="0.2">
      <c r="B96" s="43"/>
    </row>
    <row r="97" spans="2:2" x14ac:dyDescent="0.2">
      <c r="B97" s="43"/>
    </row>
    <row r="98" spans="2:2" x14ac:dyDescent="0.2">
      <c r="B98" s="43"/>
    </row>
    <row r="99" spans="2:2" x14ac:dyDescent="0.2">
      <c r="B99" s="43"/>
    </row>
    <row r="100" spans="2:2" x14ac:dyDescent="0.2">
      <c r="B100" s="43"/>
    </row>
    <row r="101" spans="2:2" x14ac:dyDescent="0.2">
      <c r="B101" s="43"/>
    </row>
    <row r="102" spans="2:2" x14ac:dyDescent="0.2">
      <c r="B102" s="43"/>
    </row>
    <row r="103" spans="2:2" x14ac:dyDescent="0.2">
      <c r="B103" s="43"/>
    </row>
    <row r="104" spans="2:2" x14ac:dyDescent="0.2">
      <c r="B104" s="43"/>
    </row>
    <row r="105" spans="2:2" x14ac:dyDescent="0.2">
      <c r="B105" s="43"/>
    </row>
    <row r="106" spans="2:2" x14ac:dyDescent="0.2">
      <c r="B106" s="43"/>
    </row>
    <row r="107" spans="2:2" x14ac:dyDescent="0.2">
      <c r="B107" s="43"/>
    </row>
    <row r="108" spans="2:2" x14ac:dyDescent="0.2">
      <c r="B108" s="43"/>
    </row>
    <row r="109" spans="2:2" x14ac:dyDescent="0.2">
      <c r="B109" s="43"/>
    </row>
    <row r="110" spans="2:2" x14ac:dyDescent="0.2">
      <c r="B110" s="43"/>
    </row>
    <row r="111" spans="2:2" x14ac:dyDescent="0.2">
      <c r="B111" s="43"/>
    </row>
    <row r="112" spans="2:2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3"/>
    </row>
    <row r="117" spans="2:2" x14ac:dyDescent="0.2">
      <c r="B117" s="43"/>
    </row>
    <row r="118" spans="2:2" x14ac:dyDescent="0.2">
      <c r="B118" s="43"/>
    </row>
    <row r="119" spans="2:2" x14ac:dyDescent="0.2">
      <c r="B119" s="43"/>
    </row>
    <row r="120" spans="2:2" x14ac:dyDescent="0.2">
      <c r="B120" s="43"/>
    </row>
    <row r="121" spans="2:2" x14ac:dyDescent="0.2">
      <c r="B121" s="43"/>
    </row>
    <row r="122" spans="2:2" x14ac:dyDescent="0.2">
      <c r="B122" s="43"/>
    </row>
    <row r="123" spans="2:2" x14ac:dyDescent="0.2">
      <c r="B123" s="43"/>
    </row>
    <row r="124" spans="2:2" x14ac:dyDescent="0.2">
      <c r="B124" s="43"/>
    </row>
    <row r="125" spans="2:2" x14ac:dyDescent="0.2">
      <c r="B125" s="43"/>
    </row>
    <row r="126" spans="2:2" x14ac:dyDescent="0.2">
      <c r="B126" s="43"/>
    </row>
    <row r="127" spans="2:2" x14ac:dyDescent="0.2">
      <c r="B127" s="43"/>
    </row>
    <row r="128" spans="2:2" x14ac:dyDescent="0.2">
      <c r="B128" s="43"/>
    </row>
    <row r="129" spans="2:2" x14ac:dyDescent="0.2">
      <c r="B129" s="43"/>
    </row>
  </sheetData>
  <phoneticPr fontId="0" type="noConversion"/>
  <pageMargins left="0.78740157499999996" right="0.78740157499999996" top="0.984251969" bottom="0.984251969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opLeftCell="A19" workbookViewId="0">
      <selection activeCell="B39" sqref="B39"/>
    </sheetView>
  </sheetViews>
  <sheetFormatPr defaultColWidth="11.42578125" defaultRowHeight="15" x14ac:dyDescent="0.2"/>
  <cols>
    <col min="1" max="1" width="37.140625" style="32" bestFit="1" customWidth="1"/>
    <col min="2" max="2" width="16.140625" style="32" bestFit="1" customWidth="1"/>
    <col min="3" max="3" width="33.42578125" style="32" bestFit="1" customWidth="1"/>
    <col min="4" max="4" width="9.140625" style="32" customWidth="1"/>
    <col min="5" max="5" width="27.28515625" style="32" bestFit="1" customWidth="1"/>
    <col min="6" max="252" width="9.140625" style="32" customWidth="1"/>
    <col min="253" max="16384" width="11.42578125" style="32"/>
  </cols>
  <sheetData>
    <row r="1" spans="1:5" ht="15.75" x14ac:dyDescent="0.25">
      <c r="A1" s="31" t="s">
        <v>0</v>
      </c>
      <c r="C1" s="31" t="s">
        <v>5</v>
      </c>
      <c r="E1" s="34" t="s">
        <v>136</v>
      </c>
    </row>
    <row r="2" spans="1:5" x14ac:dyDescent="0.2">
      <c r="A2" s="32" t="s">
        <v>27</v>
      </c>
      <c r="B2" s="54">
        <v>12</v>
      </c>
      <c r="C2" s="32" t="s">
        <v>135</v>
      </c>
      <c r="D2" s="32">
        <v>11.5</v>
      </c>
      <c r="E2" s="54">
        <v>11.5</v>
      </c>
    </row>
    <row r="3" spans="1:5" x14ac:dyDescent="0.2">
      <c r="A3" s="32" t="s">
        <v>6</v>
      </c>
      <c r="B3" s="54">
        <v>12</v>
      </c>
      <c r="C3" s="32" t="s">
        <v>88</v>
      </c>
      <c r="D3" s="54">
        <v>10</v>
      </c>
      <c r="E3" s="54"/>
    </row>
    <row r="4" spans="1:5" x14ac:dyDescent="0.2">
      <c r="A4" s="32" t="s">
        <v>7</v>
      </c>
      <c r="B4" s="54">
        <v>1</v>
      </c>
      <c r="C4" s="32" t="s">
        <v>112</v>
      </c>
      <c r="D4" s="32">
        <v>0</v>
      </c>
      <c r="E4" s="54">
        <v>0</v>
      </c>
    </row>
    <row r="5" spans="1:5" x14ac:dyDescent="0.2">
      <c r="A5" s="32" t="s">
        <v>8</v>
      </c>
      <c r="B5" s="55">
        <v>0.65</v>
      </c>
      <c r="C5" s="32" t="s">
        <v>113</v>
      </c>
      <c r="D5" s="32">
        <v>30</v>
      </c>
      <c r="E5" s="54">
        <v>20</v>
      </c>
    </row>
    <row r="6" spans="1:5" x14ac:dyDescent="0.2">
      <c r="A6" s="32" t="s">
        <v>9</v>
      </c>
      <c r="B6" s="55">
        <v>3</v>
      </c>
      <c r="C6" s="32" t="s">
        <v>114</v>
      </c>
      <c r="D6" s="32">
        <v>5</v>
      </c>
      <c r="E6" s="54">
        <v>5</v>
      </c>
    </row>
    <row r="7" spans="1:5" x14ac:dyDescent="0.2">
      <c r="A7" s="32" t="s">
        <v>115</v>
      </c>
      <c r="B7" s="55">
        <v>1.2</v>
      </c>
    </row>
    <row r="8" spans="1:5" x14ac:dyDescent="0.2">
      <c r="A8" s="32" t="s">
        <v>116</v>
      </c>
      <c r="B8" s="55">
        <v>1.08</v>
      </c>
      <c r="C8" s="56"/>
      <c r="D8" s="56"/>
    </row>
    <row r="9" spans="1:5" x14ac:dyDescent="0.2">
      <c r="B9" s="57"/>
    </row>
    <row r="10" spans="1:5" x14ac:dyDescent="0.2">
      <c r="A10" s="32" t="s">
        <v>10</v>
      </c>
      <c r="B10" s="54">
        <v>1</v>
      </c>
      <c r="C10" s="32" t="s">
        <v>12</v>
      </c>
      <c r="D10" s="43"/>
    </row>
    <row r="11" spans="1:5" x14ac:dyDescent="0.2">
      <c r="A11" s="32" t="s">
        <v>11</v>
      </c>
      <c r="B11" s="58">
        <f>(B10/100+1)^(1/30)</f>
        <v>1.0003317327062342</v>
      </c>
      <c r="C11" s="32" t="s">
        <v>13</v>
      </c>
      <c r="D11" s="42">
        <f>D25</f>
        <v>1.7570426173053033</v>
      </c>
    </row>
    <row r="13" spans="1:5" ht="15.75" x14ac:dyDescent="0.25">
      <c r="B13" s="31" t="s">
        <v>14</v>
      </c>
      <c r="C13" s="31" t="s">
        <v>15</v>
      </c>
      <c r="D13" s="31" t="s">
        <v>16</v>
      </c>
    </row>
    <row r="14" spans="1:5" x14ac:dyDescent="0.2">
      <c r="A14" s="32" t="s">
        <v>4</v>
      </c>
      <c r="B14" s="42">
        <f>D2</f>
        <v>11.5</v>
      </c>
      <c r="C14" s="44">
        <f>D4</f>
        <v>0</v>
      </c>
      <c r="D14" s="42">
        <f t="shared" ref="D14:D23" si="0">B14/($B$11^C14)</f>
        <v>11.5</v>
      </c>
    </row>
    <row r="15" spans="1:5" x14ac:dyDescent="0.2">
      <c r="A15" s="32" t="s">
        <v>88</v>
      </c>
      <c r="B15" s="42">
        <f>-D3</f>
        <v>-10</v>
      </c>
      <c r="C15" s="44">
        <f>D5</f>
        <v>30</v>
      </c>
      <c r="D15" s="42">
        <f t="shared" si="0"/>
        <v>-9.9009900990098902</v>
      </c>
    </row>
    <row r="16" spans="1:5" x14ac:dyDescent="0.2">
      <c r="A16" s="32" t="s">
        <v>1</v>
      </c>
      <c r="B16" s="42">
        <f>-B14*B4/100</f>
        <v>-0.115</v>
      </c>
      <c r="C16" s="45"/>
      <c r="D16" s="42">
        <f t="shared" si="0"/>
        <v>-0.115</v>
      </c>
    </row>
    <row r="17" spans="1:4" x14ac:dyDescent="0.2">
      <c r="A17" s="32" t="s">
        <v>28</v>
      </c>
      <c r="B17" s="42">
        <v>-0.42</v>
      </c>
      <c r="C17" s="46"/>
      <c r="D17" s="42">
        <f t="shared" si="0"/>
        <v>-0.42</v>
      </c>
    </row>
    <row r="18" spans="1:4" x14ac:dyDescent="0.2">
      <c r="A18" s="32" t="s">
        <v>26</v>
      </c>
      <c r="B18" s="42">
        <f>-B15*B2/100</f>
        <v>1.2</v>
      </c>
      <c r="C18" s="45"/>
      <c r="D18" s="42">
        <f t="shared" si="0"/>
        <v>1.2</v>
      </c>
    </row>
    <row r="19" spans="1:4" x14ac:dyDescent="0.2">
      <c r="A19" s="32" t="s">
        <v>17</v>
      </c>
      <c r="B19" s="42">
        <f>-B14*B3/100</f>
        <v>-1.38</v>
      </c>
      <c r="C19" s="45"/>
      <c r="D19" s="42">
        <f t="shared" si="0"/>
        <v>-1.38</v>
      </c>
    </row>
    <row r="20" spans="1:4" x14ac:dyDescent="0.2">
      <c r="A20" s="32" t="s">
        <v>2</v>
      </c>
      <c r="B20" s="42">
        <f>-B14*B5/100</f>
        <v>-7.4750000000000011E-2</v>
      </c>
      <c r="C20" s="45"/>
      <c r="D20" s="42">
        <f t="shared" si="0"/>
        <v>-7.4750000000000011E-2</v>
      </c>
    </row>
    <row r="21" spans="1:4" x14ac:dyDescent="0.2">
      <c r="A21" s="32" t="s">
        <v>3</v>
      </c>
      <c r="B21" s="42">
        <f>-B14*B6/100</f>
        <v>-0.34499999999999997</v>
      </c>
      <c r="C21" s="45"/>
      <c r="D21" s="42">
        <f t="shared" si="0"/>
        <v>-0.34499999999999997</v>
      </c>
    </row>
    <row r="22" spans="1:4" x14ac:dyDescent="0.2">
      <c r="A22" s="32" t="s">
        <v>117</v>
      </c>
      <c r="B22" s="42">
        <f>-B14*B7/100</f>
        <v>-0.13799999999999998</v>
      </c>
      <c r="C22" s="45"/>
      <c r="D22" s="42">
        <f t="shared" si="0"/>
        <v>-0.13799999999999998</v>
      </c>
    </row>
    <row r="23" spans="1:4" x14ac:dyDescent="0.2">
      <c r="A23" s="32" t="s">
        <v>118</v>
      </c>
      <c r="B23" s="42">
        <f>-B14*B8/100</f>
        <v>-0.12420000000000002</v>
      </c>
      <c r="D23" s="42">
        <f t="shared" si="0"/>
        <v>-0.12420000000000002</v>
      </c>
    </row>
    <row r="24" spans="1:4" x14ac:dyDescent="0.2">
      <c r="A24" s="32" t="s">
        <v>18</v>
      </c>
      <c r="B24" s="42">
        <f>SUM(B14:B23)</f>
        <v>0.10305000000000018</v>
      </c>
      <c r="C24" s="43"/>
      <c r="D24" s="42">
        <f>SUM(D14:D23)</f>
        <v>0.2020599009901099</v>
      </c>
    </row>
    <row r="25" spans="1:4" x14ac:dyDescent="0.2">
      <c r="A25" s="32" t="s">
        <v>19</v>
      </c>
      <c r="B25" s="44">
        <f>(B24/B14)*100</f>
        <v>0.89608695652174075</v>
      </c>
      <c r="C25" s="43"/>
      <c r="D25" s="42">
        <f>(D24/D14)*100</f>
        <v>1.7570426173053033</v>
      </c>
    </row>
    <row r="26" spans="1:4" x14ac:dyDescent="0.2">
      <c r="B26" s="45"/>
      <c r="C26" s="43"/>
      <c r="D26" s="43"/>
    </row>
    <row r="27" spans="1:4" ht="15.75" x14ac:dyDescent="0.25">
      <c r="A27" s="31" t="s">
        <v>106</v>
      </c>
      <c r="C27" s="43"/>
      <c r="D27" s="43"/>
    </row>
    <row r="28" spans="1:4" x14ac:dyDescent="0.2">
      <c r="A28" s="32" t="s">
        <v>107</v>
      </c>
      <c r="B28" s="42">
        <f>-(B14*C14)/30</f>
        <v>0</v>
      </c>
      <c r="C28" s="43"/>
      <c r="D28" s="43"/>
    </row>
    <row r="29" spans="1:4" x14ac:dyDescent="0.2">
      <c r="A29" s="32" t="s">
        <v>108</v>
      </c>
      <c r="B29" s="42">
        <f>(B15*D6)/30</f>
        <v>-1.6666666666666667</v>
      </c>
      <c r="C29" s="43"/>
      <c r="D29" s="43"/>
    </row>
    <row r="30" spans="1:4" x14ac:dyDescent="0.2">
      <c r="A30" s="32" t="s">
        <v>109</v>
      </c>
      <c r="B30" s="42">
        <f>-(B15*C15)/30</f>
        <v>10</v>
      </c>
      <c r="C30" s="43"/>
      <c r="D30" s="43"/>
    </row>
    <row r="31" spans="1:4" x14ac:dyDescent="0.2">
      <c r="A31" s="32" t="s">
        <v>20</v>
      </c>
      <c r="B31" s="42">
        <f>SUM(B28:B30)</f>
        <v>8.3333333333333339</v>
      </c>
      <c r="C31" s="43"/>
      <c r="D31" s="43"/>
    </row>
    <row r="32" spans="1:4" x14ac:dyDescent="0.2">
      <c r="C32" s="43"/>
      <c r="D32" s="43"/>
    </row>
    <row r="33" spans="1:4" ht="15.75" x14ac:dyDescent="0.25">
      <c r="A33" s="34" t="s">
        <v>102</v>
      </c>
      <c r="B33" s="43"/>
      <c r="D33" s="43"/>
    </row>
    <row r="34" spans="1:4" ht="15.75" x14ac:dyDescent="0.25">
      <c r="A34" s="34" t="s">
        <v>99</v>
      </c>
      <c r="B34" s="47">
        <v>20000000</v>
      </c>
      <c r="D34" s="43"/>
    </row>
    <row r="35" spans="1:4" ht="15.75" x14ac:dyDescent="0.25">
      <c r="A35" s="34" t="s">
        <v>97</v>
      </c>
      <c r="B35" s="53">
        <v>0.01</v>
      </c>
      <c r="D35" s="43"/>
    </row>
    <row r="36" spans="1:4" ht="15.75" x14ac:dyDescent="0.25">
      <c r="A36" s="34" t="s">
        <v>104</v>
      </c>
      <c r="B36" s="49">
        <f>B34*B35</f>
        <v>200000</v>
      </c>
      <c r="D36" s="43"/>
    </row>
    <row r="37" spans="1:4" ht="15.75" x14ac:dyDescent="0.25">
      <c r="A37" s="34" t="s">
        <v>96</v>
      </c>
      <c r="B37" s="50">
        <v>5</v>
      </c>
      <c r="D37" s="43"/>
    </row>
    <row r="38" spans="1:4" ht="15.75" x14ac:dyDescent="0.25">
      <c r="A38" s="34" t="s">
        <v>105</v>
      </c>
      <c r="B38" s="49">
        <f>B36-(((B14/E2)-1)*B37)*B36</f>
        <v>200000</v>
      </c>
      <c r="D38" s="43"/>
    </row>
    <row r="39" spans="1:4" ht="15.75" x14ac:dyDescent="0.25">
      <c r="A39" s="34"/>
      <c r="B39" s="49"/>
      <c r="D39" s="43"/>
    </row>
    <row r="40" spans="1:4" ht="15.75" x14ac:dyDescent="0.25">
      <c r="A40" s="34" t="s">
        <v>98</v>
      </c>
      <c r="B40" s="51">
        <f>B38/B34</f>
        <v>0.01</v>
      </c>
      <c r="D40" s="43"/>
    </row>
    <row r="41" spans="1:4" ht="15.75" x14ac:dyDescent="0.25">
      <c r="A41" s="34" t="s">
        <v>100</v>
      </c>
      <c r="B41" s="49">
        <f>B38*D14</f>
        <v>2300000</v>
      </c>
      <c r="D41" s="43"/>
    </row>
    <row r="42" spans="1:4" ht="15.75" x14ac:dyDescent="0.25">
      <c r="A42" s="34" t="s">
        <v>101</v>
      </c>
      <c r="B42" s="49">
        <f>D24*B38</f>
        <v>40411.980198021978</v>
      </c>
      <c r="D42" s="43"/>
    </row>
    <row r="43" spans="1:4" ht="15.75" x14ac:dyDescent="0.25">
      <c r="A43" s="34" t="s">
        <v>111</v>
      </c>
      <c r="B43" s="30">
        <f>B31*B38/12</f>
        <v>138888.88888888891</v>
      </c>
      <c r="D43" s="43"/>
    </row>
    <row r="44" spans="1:4" x14ac:dyDescent="0.2">
      <c r="B44" s="43"/>
      <c r="D44" s="43"/>
    </row>
    <row r="45" spans="1:4" x14ac:dyDescent="0.2">
      <c r="B45" s="43"/>
    </row>
    <row r="46" spans="1:4" x14ac:dyDescent="0.2">
      <c r="B46" s="43"/>
    </row>
    <row r="47" spans="1:4" x14ac:dyDescent="0.2">
      <c r="B47" s="43"/>
    </row>
    <row r="48" spans="1:4" x14ac:dyDescent="0.2">
      <c r="B48" s="43"/>
    </row>
    <row r="49" spans="2:2" x14ac:dyDescent="0.2">
      <c r="B49" s="43"/>
    </row>
    <row r="50" spans="2:2" x14ac:dyDescent="0.2">
      <c r="B50" s="43"/>
    </row>
    <row r="51" spans="2:2" x14ac:dyDescent="0.2">
      <c r="B51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  <row r="61" spans="2:2" x14ac:dyDescent="0.2">
      <c r="B61" s="43"/>
    </row>
    <row r="62" spans="2:2" x14ac:dyDescent="0.2">
      <c r="B62" s="43"/>
    </row>
    <row r="63" spans="2:2" x14ac:dyDescent="0.2">
      <c r="B63" s="43"/>
    </row>
    <row r="64" spans="2:2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43"/>
    </row>
    <row r="75" spans="2:2" x14ac:dyDescent="0.2">
      <c r="B75" s="43"/>
    </row>
    <row r="76" spans="2:2" x14ac:dyDescent="0.2">
      <c r="B76" s="43"/>
    </row>
    <row r="77" spans="2:2" x14ac:dyDescent="0.2">
      <c r="B77" s="43"/>
    </row>
    <row r="78" spans="2:2" x14ac:dyDescent="0.2">
      <c r="B78" s="43"/>
    </row>
    <row r="79" spans="2:2" x14ac:dyDescent="0.2">
      <c r="B79" s="43"/>
    </row>
    <row r="80" spans="2:2" x14ac:dyDescent="0.2">
      <c r="B80" s="43"/>
    </row>
    <row r="81" spans="2:2" x14ac:dyDescent="0.2">
      <c r="B81" s="43"/>
    </row>
    <row r="82" spans="2:2" x14ac:dyDescent="0.2">
      <c r="B82" s="43"/>
    </row>
    <row r="83" spans="2:2" x14ac:dyDescent="0.2">
      <c r="B83" s="43"/>
    </row>
    <row r="84" spans="2:2" x14ac:dyDescent="0.2">
      <c r="B84" s="43"/>
    </row>
    <row r="85" spans="2:2" x14ac:dyDescent="0.2">
      <c r="B85" s="43"/>
    </row>
    <row r="86" spans="2:2" x14ac:dyDescent="0.2">
      <c r="B86" s="43"/>
    </row>
    <row r="87" spans="2:2" x14ac:dyDescent="0.2">
      <c r="B87" s="43"/>
    </row>
    <row r="88" spans="2:2" x14ac:dyDescent="0.2">
      <c r="B88" s="43"/>
    </row>
    <row r="89" spans="2:2" x14ac:dyDescent="0.2">
      <c r="B89" s="43"/>
    </row>
    <row r="90" spans="2:2" x14ac:dyDescent="0.2">
      <c r="B90" s="43"/>
    </row>
    <row r="91" spans="2:2" x14ac:dyDescent="0.2">
      <c r="B91" s="43"/>
    </row>
    <row r="92" spans="2:2" x14ac:dyDescent="0.2">
      <c r="B92" s="43"/>
    </row>
    <row r="93" spans="2:2" x14ac:dyDescent="0.2">
      <c r="B93" s="43"/>
    </row>
    <row r="94" spans="2:2" x14ac:dyDescent="0.2">
      <c r="B94" s="43"/>
    </row>
    <row r="95" spans="2:2" x14ac:dyDescent="0.2">
      <c r="B95" s="43"/>
    </row>
    <row r="96" spans="2:2" x14ac:dyDescent="0.2">
      <c r="B96" s="43"/>
    </row>
    <row r="97" spans="2:2" x14ac:dyDescent="0.2">
      <c r="B97" s="43"/>
    </row>
    <row r="98" spans="2:2" x14ac:dyDescent="0.2">
      <c r="B98" s="43"/>
    </row>
    <row r="99" spans="2:2" x14ac:dyDescent="0.2">
      <c r="B99" s="43"/>
    </row>
    <row r="100" spans="2:2" x14ac:dyDescent="0.2">
      <c r="B100" s="43"/>
    </row>
    <row r="101" spans="2:2" x14ac:dyDescent="0.2">
      <c r="B101" s="43"/>
    </row>
    <row r="102" spans="2:2" x14ac:dyDescent="0.2">
      <c r="B102" s="43"/>
    </row>
    <row r="103" spans="2:2" x14ac:dyDescent="0.2">
      <c r="B103" s="43"/>
    </row>
    <row r="104" spans="2:2" x14ac:dyDescent="0.2">
      <c r="B104" s="43"/>
    </row>
    <row r="105" spans="2:2" x14ac:dyDescent="0.2">
      <c r="B105" s="43"/>
    </row>
    <row r="106" spans="2:2" x14ac:dyDescent="0.2">
      <c r="B106" s="43"/>
    </row>
    <row r="107" spans="2:2" x14ac:dyDescent="0.2">
      <c r="B107" s="43"/>
    </row>
    <row r="108" spans="2:2" x14ac:dyDescent="0.2">
      <c r="B108" s="43"/>
    </row>
    <row r="109" spans="2:2" x14ac:dyDescent="0.2">
      <c r="B109" s="43"/>
    </row>
    <row r="110" spans="2:2" x14ac:dyDescent="0.2">
      <c r="B110" s="43"/>
    </row>
    <row r="111" spans="2:2" x14ac:dyDescent="0.2">
      <c r="B111" s="43"/>
    </row>
    <row r="112" spans="2:2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3"/>
    </row>
    <row r="117" spans="2:2" x14ac:dyDescent="0.2">
      <c r="B117" s="43"/>
    </row>
    <row r="118" spans="2:2" x14ac:dyDescent="0.2">
      <c r="B118" s="43"/>
    </row>
    <row r="119" spans="2:2" x14ac:dyDescent="0.2">
      <c r="B119" s="43"/>
    </row>
    <row r="120" spans="2:2" x14ac:dyDescent="0.2">
      <c r="B120" s="43"/>
    </row>
    <row r="121" spans="2:2" x14ac:dyDescent="0.2">
      <c r="B121" s="43"/>
    </row>
    <row r="122" spans="2:2" x14ac:dyDescent="0.2">
      <c r="B122" s="43"/>
    </row>
    <row r="123" spans="2:2" x14ac:dyDescent="0.2">
      <c r="B123" s="43"/>
    </row>
    <row r="124" spans="2:2" x14ac:dyDescent="0.2">
      <c r="B124" s="43"/>
    </row>
    <row r="125" spans="2:2" x14ac:dyDescent="0.2">
      <c r="B125" s="43"/>
    </row>
    <row r="126" spans="2:2" x14ac:dyDescent="0.2">
      <c r="B126" s="43"/>
    </row>
    <row r="127" spans="2:2" x14ac:dyDescent="0.2">
      <c r="B127" s="43"/>
    </row>
    <row r="128" spans="2:2" x14ac:dyDescent="0.2">
      <c r="B128" s="43"/>
    </row>
    <row r="129" spans="2:2" x14ac:dyDescent="0.2">
      <c r="B129" s="43"/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opLeftCell="A21" workbookViewId="0">
      <selection activeCell="D4" sqref="D4"/>
    </sheetView>
  </sheetViews>
  <sheetFormatPr defaultColWidth="11.42578125" defaultRowHeight="15" x14ac:dyDescent="0.2"/>
  <cols>
    <col min="1" max="1" width="37.140625" style="32" bestFit="1" customWidth="1"/>
    <col min="2" max="2" width="16.140625" style="32" bestFit="1" customWidth="1"/>
    <col min="3" max="3" width="33.42578125" style="32" bestFit="1" customWidth="1"/>
    <col min="4" max="4" width="9.140625" style="32" customWidth="1"/>
    <col min="5" max="5" width="27.28515625" style="32" bestFit="1" customWidth="1"/>
    <col min="6" max="252" width="9.140625" style="32" customWidth="1"/>
    <col min="253" max="16384" width="11.42578125" style="32"/>
  </cols>
  <sheetData>
    <row r="1" spans="1:5" ht="15.75" x14ac:dyDescent="0.25">
      <c r="A1" s="31" t="s">
        <v>0</v>
      </c>
      <c r="C1" s="31" t="s">
        <v>5</v>
      </c>
      <c r="E1" s="34" t="s">
        <v>136</v>
      </c>
    </row>
    <row r="2" spans="1:5" x14ac:dyDescent="0.2">
      <c r="A2" s="32" t="s">
        <v>27</v>
      </c>
      <c r="B2" s="54">
        <v>12</v>
      </c>
      <c r="C2" s="32" t="s">
        <v>135</v>
      </c>
      <c r="D2" s="32">
        <v>19.7</v>
      </c>
      <c r="E2" s="54">
        <v>19</v>
      </c>
    </row>
    <row r="3" spans="1:5" x14ac:dyDescent="0.2">
      <c r="A3" s="32" t="s">
        <v>6</v>
      </c>
      <c r="B3" s="54">
        <v>12</v>
      </c>
      <c r="C3" s="32" t="s">
        <v>88</v>
      </c>
      <c r="D3" s="54">
        <v>10</v>
      </c>
      <c r="E3" s="54"/>
    </row>
    <row r="4" spans="1:5" x14ac:dyDescent="0.2">
      <c r="A4" s="32" t="s">
        <v>7</v>
      </c>
      <c r="B4" s="54">
        <v>1</v>
      </c>
      <c r="C4" s="32" t="s">
        <v>112</v>
      </c>
      <c r="D4" s="32">
        <v>30</v>
      </c>
      <c r="E4" s="54">
        <v>30</v>
      </c>
    </row>
    <row r="5" spans="1:5" x14ac:dyDescent="0.2">
      <c r="A5" s="32" t="s">
        <v>8</v>
      </c>
      <c r="B5" s="55">
        <v>0.65</v>
      </c>
      <c r="C5" s="32" t="s">
        <v>113</v>
      </c>
      <c r="D5" s="32">
        <v>30</v>
      </c>
      <c r="E5" s="54">
        <v>30</v>
      </c>
    </row>
    <row r="6" spans="1:5" x14ac:dyDescent="0.2">
      <c r="A6" s="32" t="s">
        <v>9</v>
      </c>
      <c r="B6" s="55">
        <v>3</v>
      </c>
      <c r="C6" s="32" t="s">
        <v>114</v>
      </c>
      <c r="D6" s="32">
        <v>30</v>
      </c>
      <c r="E6" s="54">
        <v>30</v>
      </c>
    </row>
    <row r="7" spans="1:5" x14ac:dyDescent="0.2">
      <c r="A7" s="32" t="s">
        <v>115</v>
      </c>
      <c r="B7" s="55">
        <v>1.2</v>
      </c>
    </row>
    <row r="8" spans="1:5" x14ac:dyDescent="0.2">
      <c r="A8" s="32" t="s">
        <v>116</v>
      </c>
      <c r="B8" s="55">
        <v>1.08</v>
      </c>
      <c r="C8" s="56"/>
      <c r="D8" s="56"/>
    </row>
    <row r="9" spans="1:5" x14ac:dyDescent="0.2">
      <c r="B9" s="57"/>
    </row>
    <row r="10" spans="1:5" x14ac:dyDescent="0.2">
      <c r="A10" s="32" t="s">
        <v>10</v>
      </c>
      <c r="B10" s="54">
        <v>1</v>
      </c>
      <c r="C10" s="32" t="s">
        <v>12</v>
      </c>
      <c r="D10" s="43"/>
    </row>
    <row r="11" spans="1:5" x14ac:dyDescent="0.2">
      <c r="A11" s="32" t="s">
        <v>11</v>
      </c>
      <c r="B11" s="58">
        <f>(B10/100+1)^(1/30)</f>
        <v>1.0003317327062342</v>
      </c>
      <c r="C11" s="32" t="s">
        <v>13</v>
      </c>
      <c r="D11" s="42">
        <f>D25</f>
        <v>34.118263451776627</v>
      </c>
    </row>
    <row r="13" spans="1:5" ht="15.75" x14ac:dyDescent="0.25">
      <c r="B13" s="31" t="s">
        <v>14</v>
      </c>
      <c r="C13" s="31" t="s">
        <v>15</v>
      </c>
      <c r="D13" s="31" t="s">
        <v>16</v>
      </c>
    </row>
    <row r="14" spans="1:5" x14ac:dyDescent="0.2">
      <c r="A14" s="32" t="s">
        <v>4</v>
      </c>
      <c r="B14" s="42">
        <f>D2</f>
        <v>19.7</v>
      </c>
      <c r="C14" s="44">
        <f>D4</f>
        <v>30</v>
      </c>
      <c r="D14" s="42">
        <f t="shared" ref="D14:D23" si="0">B14/($B$11^C14)</f>
        <v>19.504950495049481</v>
      </c>
    </row>
    <row r="15" spans="1:5" x14ac:dyDescent="0.2">
      <c r="A15" s="32" t="s">
        <v>88</v>
      </c>
      <c r="B15" s="42">
        <f>-D3</f>
        <v>-10</v>
      </c>
      <c r="C15" s="44">
        <f>D5</f>
        <v>30</v>
      </c>
      <c r="D15" s="42">
        <f t="shared" si="0"/>
        <v>-9.9009900990098902</v>
      </c>
    </row>
    <row r="16" spans="1:5" x14ac:dyDescent="0.2">
      <c r="A16" s="32" t="s">
        <v>1</v>
      </c>
      <c r="B16" s="42">
        <f>-B14*B4/100</f>
        <v>-0.19699999999999998</v>
      </c>
      <c r="C16" s="45"/>
      <c r="D16" s="42">
        <f t="shared" si="0"/>
        <v>-0.19699999999999998</v>
      </c>
    </row>
    <row r="17" spans="1:4" x14ac:dyDescent="0.2">
      <c r="A17" s="32" t="s">
        <v>28</v>
      </c>
      <c r="B17" s="42">
        <v>-0.42</v>
      </c>
      <c r="C17" s="46"/>
      <c r="D17" s="42">
        <f t="shared" si="0"/>
        <v>-0.42</v>
      </c>
    </row>
    <row r="18" spans="1:4" x14ac:dyDescent="0.2">
      <c r="A18" s="32" t="s">
        <v>26</v>
      </c>
      <c r="B18" s="42">
        <f>-B15*B2/100</f>
        <v>1.2</v>
      </c>
      <c r="C18" s="45"/>
      <c r="D18" s="42">
        <f t="shared" si="0"/>
        <v>1.2</v>
      </c>
    </row>
    <row r="19" spans="1:4" x14ac:dyDescent="0.2">
      <c r="A19" s="32" t="s">
        <v>17</v>
      </c>
      <c r="B19" s="42">
        <f>-B14*B3/100</f>
        <v>-2.3639999999999999</v>
      </c>
      <c r="C19" s="45"/>
      <c r="D19" s="42">
        <f t="shared" si="0"/>
        <v>-2.3639999999999999</v>
      </c>
    </row>
    <row r="20" spans="1:4" x14ac:dyDescent="0.2">
      <c r="A20" s="32" t="s">
        <v>2</v>
      </c>
      <c r="B20" s="42">
        <f>-B14*B5/100</f>
        <v>-0.12805</v>
      </c>
      <c r="C20" s="45"/>
      <c r="D20" s="42">
        <f t="shared" si="0"/>
        <v>-0.12805</v>
      </c>
    </row>
    <row r="21" spans="1:4" x14ac:dyDescent="0.2">
      <c r="A21" s="32" t="s">
        <v>3</v>
      </c>
      <c r="B21" s="42">
        <f>-B14*B6/100</f>
        <v>-0.59099999999999997</v>
      </c>
      <c r="C21" s="45"/>
      <c r="D21" s="42">
        <f t="shared" si="0"/>
        <v>-0.59099999999999997</v>
      </c>
    </row>
    <row r="22" spans="1:4" x14ac:dyDescent="0.2">
      <c r="A22" s="32" t="s">
        <v>117</v>
      </c>
      <c r="B22" s="42">
        <f>-B14*B7/100</f>
        <v>-0.23639999999999997</v>
      </c>
      <c r="C22" s="45"/>
      <c r="D22" s="42">
        <f t="shared" si="0"/>
        <v>-0.23639999999999997</v>
      </c>
    </row>
    <row r="23" spans="1:4" x14ac:dyDescent="0.2">
      <c r="A23" s="32" t="s">
        <v>118</v>
      </c>
      <c r="B23" s="42">
        <f>-B14*B8/100</f>
        <v>-0.21276</v>
      </c>
      <c r="D23" s="42">
        <f t="shared" si="0"/>
        <v>-0.21276</v>
      </c>
    </row>
    <row r="24" spans="1:4" x14ac:dyDescent="0.2">
      <c r="A24" s="32" t="s">
        <v>18</v>
      </c>
      <c r="B24" s="42">
        <f>SUM(B14:B23)</f>
        <v>6.7507899999999994</v>
      </c>
      <c r="C24" s="43"/>
      <c r="D24" s="42">
        <f>SUM(D14:D23)</f>
        <v>6.6547503960395913</v>
      </c>
    </row>
    <row r="25" spans="1:4" x14ac:dyDescent="0.2">
      <c r="A25" s="32" t="s">
        <v>19</v>
      </c>
      <c r="B25" s="44">
        <f>(B24/B14)*100</f>
        <v>34.26796954314721</v>
      </c>
      <c r="C25" s="43"/>
      <c r="D25" s="42">
        <f>(D24/D14)*100</f>
        <v>34.118263451776627</v>
      </c>
    </row>
    <row r="26" spans="1:4" x14ac:dyDescent="0.2">
      <c r="B26" s="45"/>
      <c r="C26" s="43"/>
      <c r="D26" s="43"/>
    </row>
    <row r="27" spans="1:4" ht="15.75" x14ac:dyDescent="0.25">
      <c r="A27" s="31" t="s">
        <v>106</v>
      </c>
      <c r="C27" s="43"/>
      <c r="D27" s="43"/>
    </row>
    <row r="28" spans="1:4" x14ac:dyDescent="0.2">
      <c r="A28" s="32" t="s">
        <v>107</v>
      </c>
      <c r="B28" s="42">
        <f>-(B14*C14)/30</f>
        <v>-19.7</v>
      </c>
      <c r="C28" s="43"/>
      <c r="D28" s="43"/>
    </row>
    <row r="29" spans="1:4" x14ac:dyDescent="0.2">
      <c r="A29" s="32" t="s">
        <v>108</v>
      </c>
      <c r="B29" s="42">
        <f>(B15*D6)/30</f>
        <v>-10</v>
      </c>
      <c r="C29" s="43"/>
      <c r="D29" s="43"/>
    </row>
    <row r="30" spans="1:4" x14ac:dyDescent="0.2">
      <c r="A30" s="32" t="s">
        <v>109</v>
      </c>
      <c r="B30" s="42">
        <f>-(B15*C15)/30</f>
        <v>10</v>
      </c>
      <c r="C30" s="43"/>
      <c r="D30" s="43"/>
    </row>
    <row r="31" spans="1:4" x14ac:dyDescent="0.2">
      <c r="A31" s="32" t="s">
        <v>20</v>
      </c>
      <c r="B31" s="42">
        <f>SUM(B28:B30)</f>
        <v>-19.7</v>
      </c>
      <c r="C31" s="43"/>
      <c r="D31" s="43"/>
    </row>
    <row r="32" spans="1:4" x14ac:dyDescent="0.2">
      <c r="C32" s="43"/>
      <c r="D32" s="43"/>
    </row>
    <row r="33" spans="1:4" ht="15.75" x14ac:dyDescent="0.25">
      <c r="A33" s="34" t="s">
        <v>102</v>
      </c>
      <c r="B33" s="43"/>
      <c r="D33" s="43"/>
    </row>
    <row r="34" spans="1:4" ht="15.75" x14ac:dyDescent="0.25">
      <c r="A34" s="34" t="s">
        <v>99</v>
      </c>
      <c r="B34" s="47">
        <v>6500000</v>
      </c>
      <c r="D34" s="43"/>
    </row>
    <row r="35" spans="1:4" ht="15.75" x14ac:dyDescent="0.25">
      <c r="A35" s="34" t="s">
        <v>97</v>
      </c>
      <c r="B35" s="53">
        <v>0.14000000000000001</v>
      </c>
      <c r="D35" s="43"/>
    </row>
    <row r="36" spans="1:4" ht="15.75" x14ac:dyDescent="0.25">
      <c r="A36" s="34" t="s">
        <v>104</v>
      </c>
      <c r="B36" s="49">
        <f>B34*B35</f>
        <v>910000.00000000012</v>
      </c>
      <c r="D36" s="43"/>
    </row>
    <row r="37" spans="1:4" ht="15.75" x14ac:dyDescent="0.25">
      <c r="A37" s="34" t="s">
        <v>96</v>
      </c>
      <c r="B37" s="50">
        <v>1.4</v>
      </c>
      <c r="D37" s="43"/>
    </row>
    <row r="38" spans="1:4" ht="15.75" x14ac:dyDescent="0.25">
      <c r="A38" s="34" t="s">
        <v>105</v>
      </c>
      <c r="B38" s="49">
        <f>B36-(((B14/E2)-1)*B37)*B36</f>
        <v>863063.15789473709</v>
      </c>
      <c r="D38" s="43"/>
    </row>
    <row r="39" spans="1:4" ht="15.75" x14ac:dyDescent="0.25">
      <c r="A39" s="34"/>
      <c r="B39" s="49"/>
      <c r="D39" s="43"/>
    </row>
    <row r="40" spans="1:4" ht="15.75" x14ac:dyDescent="0.25">
      <c r="A40" s="34" t="s">
        <v>98</v>
      </c>
      <c r="B40" s="51">
        <f>B38/B34</f>
        <v>0.13277894736842108</v>
      </c>
      <c r="D40" s="43"/>
    </row>
    <row r="41" spans="1:4" ht="15.75" x14ac:dyDescent="0.25">
      <c r="A41" s="34" t="s">
        <v>100</v>
      </c>
      <c r="B41" s="49">
        <f>B38*D14</f>
        <v>16834004.16883792</v>
      </c>
      <c r="D41" s="43"/>
    </row>
    <row r="42" spans="1:4" ht="15.75" x14ac:dyDescent="0.25">
      <c r="A42" s="34" t="s">
        <v>101</v>
      </c>
      <c r="B42" s="49">
        <f>D24*B38</f>
        <v>5743469.8918071818</v>
      </c>
      <c r="D42" s="43"/>
    </row>
    <row r="43" spans="1:4" ht="15.75" x14ac:dyDescent="0.25">
      <c r="A43" s="34" t="s">
        <v>111</v>
      </c>
      <c r="B43" s="30">
        <f>B31*B38/12</f>
        <v>-1416862.01754386</v>
      </c>
      <c r="D43" s="43"/>
    </row>
    <row r="44" spans="1:4" x14ac:dyDescent="0.2">
      <c r="B44" s="43"/>
      <c r="D44" s="43"/>
    </row>
    <row r="45" spans="1:4" x14ac:dyDescent="0.2">
      <c r="B45" s="43"/>
    </row>
    <row r="46" spans="1:4" x14ac:dyDescent="0.2">
      <c r="B46" s="43"/>
    </row>
    <row r="47" spans="1:4" x14ac:dyDescent="0.2">
      <c r="B47" s="43"/>
    </row>
    <row r="48" spans="1:4" x14ac:dyDescent="0.2">
      <c r="B48" s="43"/>
    </row>
    <row r="49" spans="2:2" x14ac:dyDescent="0.2">
      <c r="B49" s="43"/>
    </row>
    <row r="50" spans="2:2" x14ac:dyDescent="0.2">
      <c r="B50" s="43"/>
    </row>
    <row r="51" spans="2:2" x14ac:dyDescent="0.2">
      <c r="B51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  <row r="61" spans="2:2" x14ac:dyDescent="0.2">
      <c r="B61" s="43"/>
    </row>
    <row r="62" spans="2:2" x14ac:dyDescent="0.2">
      <c r="B62" s="43"/>
    </row>
    <row r="63" spans="2:2" x14ac:dyDescent="0.2">
      <c r="B63" s="43"/>
    </row>
    <row r="64" spans="2:2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43"/>
    </row>
    <row r="75" spans="2:2" x14ac:dyDescent="0.2">
      <c r="B75" s="43"/>
    </row>
    <row r="76" spans="2:2" x14ac:dyDescent="0.2">
      <c r="B76" s="43"/>
    </row>
    <row r="77" spans="2:2" x14ac:dyDescent="0.2">
      <c r="B77" s="43"/>
    </row>
    <row r="78" spans="2:2" x14ac:dyDescent="0.2">
      <c r="B78" s="43"/>
    </row>
    <row r="79" spans="2:2" x14ac:dyDescent="0.2">
      <c r="B79" s="43"/>
    </row>
    <row r="80" spans="2:2" x14ac:dyDescent="0.2">
      <c r="B80" s="43"/>
    </row>
    <row r="81" spans="2:2" x14ac:dyDescent="0.2">
      <c r="B81" s="43"/>
    </row>
    <row r="82" spans="2:2" x14ac:dyDescent="0.2">
      <c r="B82" s="43"/>
    </row>
    <row r="83" spans="2:2" x14ac:dyDescent="0.2">
      <c r="B83" s="43"/>
    </row>
    <row r="84" spans="2:2" x14ac:dyDescent="0.2">
      <c r="B84" s="43"/>
    </row>
    <row r="85" spans="2:2" x14ac:dyDescent="0.2">
      <c r="B85" s="43"/>
    </row>
    <row r="86" spans="2:2" x14ac:dyDescent="0.2">
      <c r="B86" s="43"/>
    </row>
    <row r="87" spans="2:2" x14ac:dyDescent="0.2">
      <c r="B87" s="43"/>
    </row>
    <row r="88" spans="2:2" x14ac:dyDescent="0.2">
      <c r="B88" s="43"/>
    </row>
    <row r="89" spans="2:2" x14ac:dyDescent="0.2">
      <c r="B89" s="43"/>
    </row>
    <row r="90" spans="2:2" x14ac:dyDescent="0.2">
      <c r="B90" s="43"/>
    </row>
    <row r="91" spans="2:2" x14ac:dyDescent="0.2">
      <c r="B91" s="43"/>
    </row>
    <row r="92" spans="2:2" x14ac:dyDescent="0.2">
      <c r="B92" s="43"/>
    </row>
    <row r="93" spans="2:2" x14ac:dyDescent="0.2">
      <c r="B93" s="43"/>
    </row>
    <row r="94" spans="2:2" x14ac:dyDescent="0.2">
      <c r="B94" s="43"/>
    </row>
    <row r="95" spans="2:2" x14ac:dyDescent="0.2">
      <c r="B95" s="43"/>
    </row>
    <row r="96" spans="2:2" x14ac:dyDescent="0.2">
      <c r="B96" s="43"/>
    </row>
    <row r="97" spans="2:2" x14ac:dyDescent="0.2">
      <c r="B97" s="43"/>
    </row>
    <row r="98" spans="2:2" x14ac:dyDescent="0.2">
      <c r="B98" s="43"/>
    </row>
    <row r="99" spans="2:2" x14ac:dyDescent="0.2">
      <c r="B99" s="43"/>
    </row>
    <row r="100" spans="2:2" x14ac:dyDescent="0.2">
      <c r="B100" s="43"/>
    </row>
    <row r="101" spans="2:2" x14ac:dyDescent="0.2">
      <c r="B101" s="43"/>
    </row>
    <row r="102" spans="2:2" x14ac:dyDescent="0.2">
      <c r="B102" s="43"/>
    </row>
    <row r="103" spans="2:2" x14ac:dyDescent="0.2">
      <c r="B103" s="43"/>
    </row>
    <row r="104" spans="2:2" x14ac:dyDescent="0.2">
      <c r="B104" s="43"/>
    </row>
    <row r="105" spans="2:2" x14ac:dyDescent="0.2">
      <c r="B105" s="43"/>
    </row>
    <row r="106" spans="2:2" x14ac:dyDescent="0.2">
      <c r="B106" s="43"/>
    </row>
    <row r="107" spans="2:2" x14ac:dyDescent="0.2">
      <c r="B107" s="43"/>
    </row>
    <row r="108" spans="2:2" x14ac:dyDescent="0.2">
      <c r="B108" s="43"/>
    </row>
    <row r="109" spans="2:2" x14ac:dyDescent="0.2">
      <c r="B109" s="43"/>
    </row>
    <row r="110" spans="2:2" x14ac:dyDescent="0.2">
      <c r="B110" s="43"/>
    </row>
    <row r="111" spans="2:2" x14ac:dyDescent="0.2">
      <c r="B111" s="43"/>
    </row>
    <row r="112" spans="2:2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3"/>
    </row>
    <row r="117" spans="2:2" x14ac:dyDescent="0.2">
      <c r="B117" s="43"/>
    </row>
    <row r="118" spans="2:2" x14ac:dyDescent="0.2">
      <c r="B118" s="43"/>
    </row>
    <row r="119" spans="2:2" x14ac:dyDescent="0.2">
      <c r="B119" s="43"/>
    </row>
    <row r="120" spans="2:2" x14ac:dyDescent="0.2">
      <c r="B120" s="43"/>
    </row>
    <row r="121" spans="2:2" x14ac:dyDescent="0.2">
      <c r="B121" s="43"/>
    </row>
    <row r="122" spans="2:2" x14ac:dyDescent="0.2">
      <c r="B122" s="43"/>
    </row>
    <row r="123" spans="2:2" x14ac:dyDescent="0.2">
      <c r="B123" s="43"/>
    </row>
    <row r="124" spans="2:2" x14ac:dyDescent="0.2">
      <c r="B124" s="43"/>
    </row>
    <row r="125" spans="2:2" x14ac:dyDescent="0.2">
      <c r="B125" s="43"/>
    </row>
    <row r="126" spans="2:2" x14ac:dyDescent="0.2">
      <c r="B126" s="43"/>
    </row>
    <row r="127" spans="2:2" x14ac:dyDescent="0.2">
      <c r="B127" s="43"/>
    </row>
    <row r="128" spans="2:2" x14ac:dyDescent="0.2">
      <c r="B128" s="43"/>
    </row>
    <row r="129" spans="2:2" x14ac:dyDescent="0.2">
      <c r="B129" s="43"/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9"/>
  <sheetViews>
    <sheetView topLeftCell="A20" workbookViewId="0">
      <selection activeCell="B37" sqref="B37"/>
    </sheetView>
  </sheetViews>
  <sheetFormatPr defaultColWidth="11.42578125" defaultRowHeight="15" x14ac:dyDescent="0.2"/>
  <cols>
    <col min="1" max="1" width="37.140625" style="33" bestFit="1" customWidth="1"/>
    <col min="2" max="2" width="13.7109375" style="33" bestFit="1" customWidth="1"/>
    <col min="3" max="3" width="23.5703125" style="32" bestFit="1" customWidth="1"/>
    <col min="4" max="4" width="8.28515625" style="33" bestFit="1" customWidth="1"/>
    <col min="5" max="5" width="27.28515625" style="33" bestFit="1" customWidth="1"/>
    <col min="6" max="252" width="9.140625" style="33" customWidth="1"/>
    <col min="253" max="16384" width="11.42578125" style="33"/>
  </cols>
  <sheetData>
    <row r="1" spans="1:5" ht="15.75" x14ac:dyDescent="0.25">
      <c r="A1" s="31" t="s">
        <v>0</v>
      </c>
      <c r="B1" s="32"/>
      <c r="C1" s="31" t="s">
        <v>5</v>
      </c>
      <c r="E1" s="34" t="s">
        <v>136</v>
      </c>
    </row>
    <row r="2" spans="1:5" x14ac:dyDescent="0.2">
      <c r="A2" s="33" t="s">
        <v>27</v>
      </c>
      <c r="B2" s="35">
        <v>18</v>
      </c>
      <c r="C2" s="32" t="s">
        <v>135</v>
      </c>
      <c r="D2" s="33">
        <v>19.5</v>
      </c>
      <c r="E2" s="54" t="s">
        <v>119</v>
      </c>
    </row>
    <row r="3" spans="1:5" x14ac:dyDescent="0.2">
      <c r="A3" s="33" t="s">
        <v>6</v>
      </c>
      <c r="B3" s="35">
        <v>18</v>
      </c>
      <c r="C3" s="32" t="s">
        <v>88</v>
      </c>
      <c r="D3" s="59" t="str">
        <f>IF(D2&gt;17,"12",IF(D2&lt;=17,"10"))</f>
        <v>12</v>
      </c>
      <c r="E3" s="54"/>
    </row>
    <row r="4" spans="1:5" x14ac:dyDescent="0.2">
      <c r="A4" s="33" t="s">
        <v>7</v>
      </c>
      <c r="B4" s="35">
        <v>1</v>
      </c>
      <c r="C4" s="32" t="s">
        <v>112</v>
      </c>
      <c r="D4" s="35">
        <v>30</v>
      </c>
      <c r="E4" s="54">
        <v>30</v>
      </c>
    </row>
    <row r="5" spans="1:5" x14ac:dyDescent="0.2">
      <c r="A5" s="33" t="s">
        <v>8</v>
      </c>
      <c r="B5" s="36">
        <v>0.65</v>
      </c>
      <c r="C5" s="32" t="s">
        <v>113</v>
      </c>
      <c r="D5" s="35">
        <v>30</v>
      </c>
      <c r="E5" s="54">
        <v>30</v>
      </c>
    </row>
    <row r="6" spans="1:5" x14ac:dyDescent="0.2">
      <c r="A6" s="33" t="s">
        <v>9</v>
      </c>
      <c r="B6" s="36">
        <v>3</v>
      </c>
      <c r="C6" s="32" t="s">
        <v>114</v>
      </c>
      <c r="D6" s="35">
        <v>30</v>
      </c>
      <c r="E6" s="54">
        <v>30</v>
      </c>
    </row>
    <row r="7" spans="1:5" x14ac:dyDescent="0.2">
      <c r="A7" s="33" t="s">
        <v>115</v>
      </c>
      <c r="B7" s="36">
        <v>1.2</v>
      </c>
    </row>
    <row r="8" spans="1:5" x14ac:dyDescent="0.2">
      <c r="A8" s="33" t="s">
        <v>116</v>
      </c>
      <c r="B8" s="36">
        <v>1.08</v>
      </c>
      <c r="C8" s="56"/>
      <c r="D8" s="37"/>
    </row>
    <row r="9" spans="1:5" x14ac:dyDescent="0.2">
      <c r="B9" s="38"/>
    </row>
    <row r="10" spans="1:5" x14ac:dyDescent="0.2">
      <c r="A10" s="33" t="s">
        <v>10</v>
      </c>
      <c r="B10" s="35">
        <v>1</v>
      </c>
      <c r="C10" s="32" t="s">
        <v>12</v>
      </c>
      <c r="D10" s="39"/>
    </row>
    <row r="11" spans="1:5" x14ac:dyDescent="0.2">
      <c r="A11" s="33" t="s">
        <v>11</v>
      </c>
      <c r="B11" s="40">
        <f>(B10/100+1)^(1/30)</f>
        <v>1.0003317327062342</v>
      </c>
      <c r="C11" s="32" t="s">
        <v>13</v>
      </c>
      <c r="D11" s="41">
        <f>D25</f>
        <v>22.294546153846134</v>
      </c>
    </row>
    <row r="12" spans="1:5" x14ac:dyDescent="0.2">
      <c r="A12" s="32"/>
      <c r="B12" s="32"/>
      <c r="E12" s="32"/>
    </row>
    <row r="13" spans="1:5" ht="15.75" x14ac:dyDescent="0.25">
      <c r="A13" s="32"/>
      <c r="B13" s="31" t="s">
        <v>14</v>
      </c>
      <c r="C13" s="31" t="s">
        <v>15</v>
      </c>
      <c r="D13" s="31" t="s">
        <v>16</v>
      </c>
      <c r="E13" s="32"/>
    </row>
    <row r="14" spans="1:5" x14ac:dyDescent="0.2">
      <c r="A14" s="32" t="s">
        <v>4</v>
      </c>
      <c r="B14" s="42">
        <f>D2</f>
        <v>19.5</v>
      </c>
      <c r="C14" s="44">
        <f>D4</f>
        <v>30</v>
      </c>
      <c r="D14" s="42">
        <f t="shared" ref="D14:D23" si="0">B14/($B$11^C14)</f>
        <v>19.306930693069287</v>
      </c>
      <c r="E14" s="32"/>
    </row>
    <row r="15" spans="1:5" x14ac:dyDescent="0.2">
      <c r="A15" s="32" t="s">
        <v>88</v>
      </c>
      <c r="B15" s="42">
        <f>-D3</f>
        <v>-12</v>
      </c>
      <c r="C15" s="44">
        <f>D5</f>
        <v>30</v>
      </c>
      <c r="D15" s="42">
        <f t="shared" si="0"/>
        <v>-11.881188118811869</v>
      </c>
      <c r="E15" s="32"/>
    </row>
    <row r="16" spans="1:5" x14ac:dyDescent="0.2">
      <c r="A16" s="32" t="s">
        <v>1</v>
      </c>
      <c r="B16" s="42">
        <f>-B14*B4/100</f>
        <v>-0.19500000000000001</v>
      </c>
      <c r="C16" s="45"/>
      <c r="D16" s="42">
        <f t="shared" si="0"/>
        <v>-0.19500000000000001</v>
      </c>
      <c r="E16" s="32"/>
    </row>
    <row r="17" spans="1:5" x14ac:dyDescent="0.2">
      <c r="A17" s="32" t="s">
        <v>28</v>
      </c>
      <c r="B17" s="42">
        <v>-0.42</v>
      </c>
      <c r="C17" s="46"/>
      <c r="D17" s="42">
        <f t="shared" si="0"/>
        <v>-0.42</v>
      </c>
      <c r="E17" s="32"/>
    </row>
    <row r="18" spans="1:5" x14ac:dyDescent="0.2">
      <c r="A18" s="32" t="s">
        <v>26</v>
      </c>
      <c r="B18" s="42">
        <f>-B15*B2/100</f>
        <v>2.16</v>
      </c>
      <c r="C18" s="45"/>
      <c r="D18" s="42">
        <f t="shared" si="0"/>
        <v>2.16</v>
      </c>
      <c r="E18" s="32"/>
    </row>
    <row r="19" spans="1:5" x14ac:dyDescent="0.2">
      <c r="A19" s="32" t="s">
        <v>17</v>
      </c>
      <c r="B19" s="42">
        <f>-B14*B3/100</f>
        <v>-3.51</v>
      </c>
      <c r="C19" s="45"/>
      <c r="D19" s="42">
        <f t="shared" si="0"/>
        <v>-3.51</v>
      </c>
      <c r="E19" s="32"/>
    </row>
    <row r="20" spans="1:5" x14ac:dyDescent="0.2">
      <c r="A20" s="32" t="s">
        <v>2</v>
      </c>
      <c r="B20" s="42">
        <f>-B14*B5/100</f>
        <v>-0.12675</v>
      </c>
      <c r="C20" s="45"/>
      <c r="D20" s="42">
        <f t="shared" si="0"/>
        <v>-0.12675</v>
      </c>
      <c r="E20" s="32"/>
    </row>
    <row r="21" spans="1:5" x14ac:dyDescent="0.2">
      <c r="A21" s="32" t="s">
        <v>3</v>
      </c>
      <c r="B21" s="42">
        <f>-B14*B6/100</f>
        <v>-0.58499999999999996</v>
      </c>
      <c r="C21" s="45"/>
      <c r="D21" s="42">
        <f t="shared" si="0"/>
        <v>-0.58499999999999996</v>
      </c>
      <c r="E21" s="32"/>
    </row>
    <row r="22" spans="1:5" x14ac:dyDescent="0.2">
      <c r="A22" s="32" t="s">
        <v>117</v>
      </c>
      <c r="B22" s="42">
        <f>-B14*B7/100</f>
        <v>-0.23399999999999999</v>
      </c>
      <c r="C22" s="45"/>
      <c r="D22" s="42">
        <f t="shared" si="0"/>
        <v>-0.23399999999999999</v>
      </c>
      <c r="E22" s="32"/>
    </row>
    <row r="23" spans="1:5" x14ac:dyDescent="0.2">
      <c r="A23" s="32" t="s">
        <v>118</v>
      </c>
      <c r="B23" s="42">
        <f>-B14*B8/100</f>
        <v>-0.21060000000000001</v>
      </c>
      <c r="D23" s="42">
        <f t="shared" si="0"/>
        <v>-0.21060000000000001</v>
      </c>
    </row>
    <row r="24" spans="1:5" x14ac:dyDescent="0.2">
      <c r="A24" s="32" t="s">
        <v>18</v>
      </c>
      <c r="B24" s="42">
        <f>SUM(B14:B23)</f>
        <v>4.3786499999999995</v>
      </c>
      <c r="C24" s="43"/>
      <c r="D24" s="42">
        <f>SUM(D14:D23)</f>
        <v>4.3043925742574176</v>
      </c>
      <c r="E24" s="32"/>
    </row>
    <row r="25" spans="1:5" x14ac:dyDescent="0.2">
      <c r="A25" s="32" t="s">
        <v>19</v>
      </c>
      <c r="B25" s="44">
        <f>(B24/B14)*100</f>
        <v>22.45461538461538</v>
      </c>
      <c r="C25" s="43"/>
      <c r="D25" s="42">
        <f>(D24/D14)*100</f>
        <v>22.294546153846134</v>
      </c>
      <c r="E25" s="32"/>
    </row>
    <row r="26" spans="1:5" x14ac:dyDescent="0.2">
      <c r="A26" s="32"/>
      <c r="B26" s="45"/>
      <c r="C26" s="43"/>
      <c r="D26" s="43"/>
      <c r="E26" s="32"/>
    </row>
    <row r="27" spans="1:5" ht="15.75" x14ac:dyDescent="0.25">
      <c r="A27" s="31" t="s">
        <v>106</v>
      </c>
      <c r="B27" s="32"/>
      <c r="C27" s="43"/>
      <c r="D27" s="43"/>
      <c r="E27" s="32"/>
    </row>
    <row r="28" spans="1:5" x14ac:dyDescent="0.2">
      <c r="A28" s="32" t="s">
        <v>107</v>
      </c>
      <c r="B28" s="42">
        <f>-(B14*C14)/30</f>
        <v>-19.5</v>
      </c>
      <c r="C28" s="43"/>
      <c r="D28" s="43"/>
      <c r="E28" s="32"/>
    </row>
    <row r="29" spans="1:5" x14ac:dyDescent="0.2">
      <c r="A29" s="32" t="s">
        <v>108</v>
      </c>
      <c r="B29" s="42">
        <f>(B15*D6)/30</f>
        <v>-12</v>
      </c>
      <c r="C29" s="43"/>
      <c r="D29" s="43"/>
      <c r="E29" s="32"/>
    </row>
    <row r="30" spans="1:5" x14ac:dyDescent="0.2">
      <c r="A30" s="32" t="s">
        <v>109</v>
      </c>
      <c r="B30" s="42">
        <f>-(B15*C15)/30</f>
        <v>12</v>
      </c>
      <c r="C30" s="43"/>
      <c r="D30" s="43"/>
      <c r="E30" s="32"/>
    </row>
    <row r="31" spans="1:5" x14ac:dyDescent="0.2">
      <c r="A31" s="32" t="s">
        <v>20</v>
      </c>
      <c r="B31" s="42">
        <f>SUM(B28:B30)</f>
        <v>-19.5</v>
      </c>
      <c r="C31" s="43"/>
      <c r="D31" s="43"/>
      <c r="E31" s="32"/>
    </row>
    <row r="32" spans="1:5" x14ac:dyDescent="0.2">
      <c r="A32" s="32"/>
      <c r="B32" s="32"/>
      <c r="C32" s="43"/>
      <c r="D32" s="43"/>
      <c r="E32" s="32"/>
    </row>
    <row r="33" spans="1:5" ht="15.75" x14ac:dyDescent="0.25">
      <c r="A33" s="34" t="s">
        <v>102</v>
      </c>
      <c r="B33" s="43"/>
      <c r="D33" s="43"/>
      <c r="E33" s="32"/>
    </row>
    <row r="34" spans="1:5" ht="15.75" x14ac:dyDescent="0.25">
      <c r="A34" s="34" t="s">
        <v>99</v>
      </c>
      <c r="B34" s="47">
        <v>3000000</v>
      </c>
      <c r="D34" s="43"/>
      <c r="E34" s="32"/>
    </row>
    <row r="35" spans="1:5" ht="15.75" x14ac:dyDescent="0.25">
      <c r="A35" s="34" t="s">
        <v>125</v>
      </c>
      <c r="B35" s="60">
        <v>0.05</v>
      </c>
      <c r="D35" s="43"/>
      <c r="E35" s="32"/>
    </row>
    <row r="36" spans="1:5" ht="15.75" x14ac:dyDescent="0.25">
      <c r="A36" s="34" t="s">
        <v>126</v>
      </c>
      <c r="B36" s="49">
        <f>B34*B35</f>
        <v>150000</v>
      </c>
      <c r="D36" s="43"/>
      <c r="E36" s="32"/>
    </row>
    <row r="37" spans="1:5" ht="15.75" x14ac:dyDescent="0.25">
      <c r="A37" s="34" t="s">
        <v>96</v>
      </c>
      <c r="B37" s="61">
        <f>IF(B14&lt;14,2,IF(B14&gt;17,1.5,0))</f>
        <v>1.5</v>
      </c>
      <c r="D37" s="43"/>
      <c r="E37" s="32"/>
    </row>
    <row r="38" spans="1:5" ht="15.75" x14ac:dyDescent="0.25">
      <c r="A38" s="34" t="s">
        <v>105</v>
      </c>
      <c r="B38" s="49">
        <f>IF(B37&gt;0,B36-(((B14/18.53)-1)*B37)*B36,10000)</f>
        <v>138221.80248246092</v>
      </c>
      <c r="D38" s="43"/>
      <c r="E38" s="32"/>
    </row>
    <row r="39" spans="1:5" ht="15.75" x14ac:dyDescent="0.25">
      <c r="A39" s="34"/>
      <c r="B39" s="49"/>
      <c r="D39" s="43"/>
      <c r="E39" s="32"/>
    </row>
    <row r="40" spans="1:5" ht="15.75" x14ac:dyDescent="0.25">
      <c r="A40" s="34" t="s">
        <v>98</v>
      </c>
      <c r="B40" s="53">
        <f>B38/B34</f>
        <v>4.6073934160820305E-2</v>
      </c>
      <c r="D40" s="43"/>
      <c r="E40" s="32"/>
    </row>
    <row r="41" spans="1:5" ht="15.75" x14ac:dyDescent="0.25">
      <c r="A41" s="34" t="s">
        <v>100</v>
      </c>
      <c r="B41" s="52">
        <f>B38*D14</f>
        <v>2668638.7607999854</v>
      </c>
      <c r="D41" s="43"/>
      <c r="E41" s="32"/>
    </row>
    <row r="42" spans="1:5" ht="15.75" x14ac:dyDescent="0.25">
      <c r="A42" s="34" t="s">
        <v>101</v>
      </c>
      <c r="B42" s="52">
        <f>D24*B38</f>
        <v>594960.90020598029</v>
      </c>
      <c r="D42" s="43"/>
      <c r="E42" s="32"/>
    </row>
    <row r="43" spans="1:5" ht="15.75" x14ac:dyDescent="0.25">
      <c r="A43" s="34" t="s">
        <v>111</v>
      </c>
      <c r="B43" s="30">
        <f>B31*B38/12</f>
        <v>-224610.42903399898</v>
      </c>
      <c r="D43" s="43"/>
      <c r="E43" s="32"/>
    </row>
    <row r="44" spans="1:5" x14ac:dyDescent="0.2">
      <c r="A44" s="32"/>
      <c r="B44" s="43"/>
      <c r="D44" s="43"/>
      <c r="E44" s="32"/>
    </row>
    <row r="45" spans="1:5" x14ac:dyDescent="0.2">
      <c r="B45" s="43"/>
    </row>
    <row r="46" spans="1:5" x14ac:dyDescent="0.2">
      <c r="B46" s="43"/>
    </row>
    <row r="47" spans="1:5" x14ac:dyDescent="0.2">
      <c r="B47" s="43"/>
    </row>
    <row r="48" spans="1:5" x14ac:dyDescent="0.2">
      <c r="B48" s="43"/>
    </row>
    <row r="49" spans="2:2" x14ac:dyDescent="0.2">
      <c r="B49" s="43"/>
    </row>
    <row r="50" spans="2:2" x14ac:dyDescent="0.2">
      <c r="B50" s="43"/>
    </row>
    <row r="51" spans="2:2" x14ac:dyDescent="0.2">
      <c r="B51" s="43"/>
    </row>
    <row r="52" spans="2:2" x14ac:dyDescent="0.2">
      <c r="B52" s="43"/>
    </row>
    <row r="53" spans="2:2" x14ac:dyDescent="0.2">
      <c r="B53" s="43"/>
    </row>
    <row r="54" spans="2:2" x14ac:dyDescent="0.2">
      <c r="B54" s="43"/>
    </row>
    <row r="55" spans="2:2" x14ac:dyDescent="0.2">
      <c r="B55" s="43"/>
    </row>
    <row r="56" spans="2:2" x14ac:dyDescent="0.2">
      <c r="B56" s="43"/>
    </row>
    <row r="57" spans="2:2" x14ac:dyDescent="0.2">
      <c r="B57" s="43"/>
    </row>
    <row r="58" spans="2:2" x14ac:dyDescent="0.2">
      <c r="B58" s="43"/>
    </row>
    <row r="59" spans="2:2" x14ac:dyDescent="0.2">
      <c r="B59" s="43"/>
    </row>
    <row r="60" spans="2:2" x14ac:dyDescent="0.2">
      <c r="B60" s="43"/>
    </row>
    <row r="61" spans="2:2" x14ac:dyDescent="0.2">
      <c r="B61" s="43"/>
    </row>
    <row r="62" spans="2:2" x14ac:dyDescent="0.2">
      <c r="B62" s="43"/>
    </row>
    <row r="63" spans="2:2" x14ac:dyDescent="0.2">
      <c r="B63" s="43"/>
    </row>
    <row r="64" spans="2:2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39"/>
    </row>
    <row r="75" spans="2:2" x14ac:dyDescent="0.2">
      <c r="B75" s="39"/>
    </row>
    <row r="76" spans="2:2" x14ac:dyDescent="0.2">
      <c r="B76" s="39"/>
    </row>
    <row r="77" spans="2:2" x14ac:dyDescent="0.2">
      <c r="B77" s="39"/>
    </row>
    <row r="78" spans="2:2" x14ac:dyDescent="0.2">
      <c r="B78" s="39"/>
    </row>
    <row r="79" spans="2:2" x14ac:dyDescent="0.2">
      <c r="B79" s="39"/>
    </row>
    <row r="80" spans="2:2" x14ac:dyDescent="0.2">
      <c r="B80" s="39"/>
    </row>
    <row r="81" spans="2:2" x14ac:dyDescent="0.2">
      <c r="B81" s="39"/>
    </row>
    <row r="82" spans="2:2" x14ac:dyDescent="0.2">
      <c r="B82" s="39"/>
    </row>
    <row r="83" spans="2:2" x14ac:dyDescent="0.2">
      <c r="B83" s="39"/>
    </row>
    <row r="84" spans="2:2" x14ac:dyDescent="0.2">
      <c r="B84" s="39"/>
    </row>
    <row r="85" spans="2:2" x14ac:dyDescent="0.2">
      <c r="B85" s="39"/>
    </row>
    <row r="86" spans="2:2" x14ac:dyDescent="0.2">
      <c r="B86" s="39"/>
    </row>
    <row r="87" spans="2:2" x14ac:dyDescent="0.2">
      <c r="B87" s="39"/>
    </row>
    <row r="88" spans="2:2" x14ac:dyDescent="0.2">
      <c r="B88" s="39"/>
    </row>
    <row r="89" spans="2:2" x14ac:dyDescent="0.2">
      <c r="B89" s="39"/>
    </row>
    <row r="90" spans="2:2" x14ac:dyDescent="0.2">
      <c r="B90" s="39"/>
    </row>
    <row r="91" spans="2:2" x14ac:dyDescent="0.2">
      <c r="B91" s="39"/>
    </row>
    <row r="92" spans="2:2" x14ac:dyDescent="0.2">
      <c r="B92" s="39"/>
    </row>
    <row r="93" spans="2:2" x14ac:dyDescent="0.2">
      <c r="B93" s="39"/>
    </row>
    <row r="94" spans="2:2" x14ac:dyDescent="0.2">
      <c r="B94" s="39"/>
    </row>
    <row r="95" spans="2:2" x14ac:dyDescent="0.2">
      <c r="B95" s="39"/>
    </row>
    <row r="96" spans="2:2" x14ac:dyDescent="0.2">
      <c r="B96" s="39"/>
    </row>
    <row r="97" spans="2:2" x14ac:dyDescent="0.2">
      <c r="B97" s="39"/>
    </row>
    <row r="98" spans="2:2" x14ac:dyDescent="0.2">
      <c r="B98" s="39"/>
    </row>
    <row r="99" spans="2:2" x14ac:dyDescent="0.2">
      <c r="B99" s="39"/>
    </row>
    <row r="100" spans="2:2" x14ac:dyDescent="0.2">
      <c r="B100" s="39"/>
    </row>
    <row r="101" spans="2:2" x14ac:dyDescent="0.2">
      <c r="B101" s="39"/>
    </row>
    <row r="102" spans="2:2" x14ac:dyDescent="0.2">
      <c r="B102" s="39"/>
    </row>
    <row r="103" spans="2:2" x14ac:dyDescent="0.2">
      <c r="B103" s="39"/>
    </row>
    <row r="104" spans="2:2" x14ac:dyDescent="0.2">
      <c r="B104" s="39"/>
    </row>
    <row r="105" spans="2:2" x14ac:dyDescent="0.2">
      <c r="B105" s="39"/>
    </row>
    <row r="106" spans="2:2" x14ac:dyDescent="0.2">
      <c r="B106" s="39"/>
    </row>
    <row r="107" spans="2:2" x14ac:dyDescent="0.2">
      <c r="B107" s="39"/>
    </row>
    <row r="108" spans="2:2" x14ac:dyDescent="0.2">
      <c r="B108" s="39"/>
    </row>
    <row r="109" spans="2:2" x14ac:dyDescent="0.2">
      <c r="B109" s="39"/>
    </row>
    <row r="110" spans="2:2" x14ac:dyDescent="0.2">
      <c r="B110" s="39"/>
    </row>
    <row r="111" spans="2:2" x14ac:dyDescent="0.2">
      <c r="B111" s="39"/>
    </row>
    <row r="112" spans="2:2" x14ac:dyDescent="0.2">
      <c r="B112" s="39"/>
    </row>
    <row r="113" spans="2:2" x14ac:dyDescent="0.2">
      <c r="B113" s="39"/>
    </row>
    <row r="114" spans="2:2" x14ac:dyDescent="0.2">
      <c r="B114" s="39"/>
    </row>
    <row r="115" spans="2:2" x14ac:dyDescent="0.2">
      <c r="B115" s="39"/>
    </row>
    <row r="116" spans="2:2" x14ac:dyDescent="0.2">
      <c r="B116" s="39"/>
    </row>
    <row r="117" spans="2:2" x14ac:dyDescent="0.2">
      <c r="B117" s="39"/>
    </row>
    <row r="118" spans="2:2" x14ac:dyDescent="0.2">
      <c r="B118" s="39"/>
    </row>
    <row r="119" spans="2:2" x14ac:dyDescent="0.2">
      <c r="B119" s="39"/>
    </row>
    <row r="120" spans="2:2" x14ac:dyDescent="0.2">
      <c r="B120" s="39"/>
    </row>
    <row r="121" spans="2:2" x14ac:dyDescent="0.2">
      <c r="B121" s="39"/>
    </row>
    <row r="122" spans="2:2" x14ac:dyDescent="0.2">
      <c r="B122" s="39"/>
    </row>
    <row r="123" spans="2:2" x14ac:dyDescent="0.2">
      <c r="B123" s="39"/>
    </row>
    <row r="124" spans="2:2" x14ac:dyDescent="0.2">
      <c r="B124" s="39"/>
    </row>
    <row r="125" spans="2:2" x14ac:dyDescent="0.2">
      <c r="B125" s="39"/>
    </row>
    <row r="126" spans="2:2" x14ac:dyDescent="0.2">
      <c r="B126" s="39"/>
    </row>
    <row r="127" spans="2:2" x14ac:dyDescent="0.2">
      <c r="B127" s="39"/>
    </row>
    <row r="128" spans="2:2" x14ac:dyDescent="0.2">
      <c r="B128" s="39"/>
    </row>
    <row r="129" spans="2:2" x14ac:dyDescent="0.2">
      <c r="B129" s="39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B25" sqref="B25:M25"/>
    </sheetView>
  </sheetViews>
  <sheetFormatPr defaultColWidth="11.42578125" defaultRowHeight="12.75" x14ac:dyDescent="0.2"/>
  <cols>
    <col min="1" max="1" width="23.5703125" style="7" customWidth="1"/>
    <col min="2" max="9" width="9.140625" style="8" customWidth="1"/>
    <col min="10" max="10" width="10.140625" style="8" customWidth="1"/>
    <col min="11" max="11" width="11.42578125" style="8" customWidth="1"/>
    <col min="12" max="12" width="10.85546875" style="8" customWidth="1"/>
    <col min="13" max="13" width="9.140625" style="8" customWidth="1"/>
    <col min="14" max="14" width="10.42578125" style="9" customWidth="1"/>
    <col min="15" max="15" width="8.28515625" style="7" hidden="1" customWidth="1"/>
    <col min="16" max="16" width="5" style="10" customWidth="1"/>
    <col min="17" max="17" width="4" style="7" customWidth="1"/>
    <col min="18" max="16384" width="11.42578125" style="11"/>
  </cols>
  <sheetData>
    <row r="1" spans="1:17" x14ac:dyDescent="0.2">
      <c r="B1" s="8" t="s">
        <v>29</v>
      </c>
    </row>
    <row r="2" spans="1:17" x14ac:dyDescent="0.2">
      <c r="N2" s="9" t="s">
        <v>20</v>
      </c>
      <c r="O2" s="7" t="s">
        <v>30</v>
      </c>
      <c r="Q2" s="10"/>
    </row>
    <row r="3" spans="1:17" x14ac:dyDescent="0.2"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7" t="s">
        <v>44</v>
      </c>
      <c r="P3" s="12"/>
    </row>
    <row r="4" spans="1:17" x14ac:dyDescent="0.2">
      <c r="A4" s="7" t="s">
        <v>45</v>
      </c>
      <c r="B4" s="13">
        <f t="shared" ref="B4:M4" si="0">SUM(B5:B9)</f>
        <v>2660771.3993259724</v>
      </c>
      <c r="C4" s="13">
        <f t="shared" si="0"/>
        <v>2660771.3993259724</v>
      </c>
      <c r="D4" s="13">
        <f t="shared" si="0"/>
        <v>2660771.3993259724</v>
      </c>
      <c r="E4" s="13">
        <f t="shared" si="0"/>
        <v>2660771.3993259724</v>
      </c>
      <c r="F4" s="13">
        <f t="shared" si="0"/>
        <v>2660771.3993259724</v>
      </c>
      <c r="G4" s="13">
        <f t="shared" si="0"/>
        <v>2660771.3993259724</v>
      </c>
      <c r="H4" s="13">
        <f t="shared" si="0"/>
        <v>2660771.3993259724</v>
      </c>
      <c r="I4" s="13">
        <f t="shared" si="0"/>
        <v>2660771.3993259724</v>
      </c>
      <c r="J4" s="13">
        <f t="shared" si="0"/>
        <v>2660771.3993259724</v>
      </c>
      <c r="K4" s="13">
        <f t="shared" si="0"/>
        <v>2660771.3993259724</v>
      </c>
      <c r="L4" s="13">
        <f t="shared" si="0"/>
        <v>2660771.3993259724</v>
      </c>
      <c r="M4" s="13">
        <f t="shared" si="0"/>
        <v>2660771.3993259724</v>
      </c>
      <c r="N4" s="13">
        <f t="shared" ref="N4:N9" si="1">SUM(B4:M4)</f>
        <v>31929256.791911677</v>
      </c>
      <c r="O4" s="14" t="e">
        <f>(N4/#REF!-1)*100</f>
        <v>#REF!</v>
      </c>
      <c r="P4" s="12"/>
      <c r="Q4" s="12"/>
    </row>
    <row r="5" spans="1:17" x14ac:dyDescent="0.2">
      <c r="A5" s="7" t="s">
        <v>46</v>
      </c>
      <c r="B5" s="13">
        <f>A!$B$41*B25/100</f>
        <v>265909.09090909094</v>
      </c>
      <c r="C5" s="13">
        <f>A!$B$41*C25/100</f>
        <v>265909.09090909094</v>
      </c>
      <c r="D5" s="13">
        <f>A!$B$41*D25/100</f>
        <v>265909.09090909094</v>
      </c>
      <c r="E5" s="13">
        <f>A!$B$41*E25/100</f>
        <v>265909.09090909094</v>
      </c>
      <c r="F5" s="13">
        <f>A!$B$41*F25/100</f>
        <v>265909.09090909094</v>
      </c>
      <c r="G5" s="13">
        <f>A!$B$41*G25/100</f>
        <v>265909.09090909094</v>
      </c>
      <c r="H5" s="13">
        <f>A!$B$41*H25/100</f>
        <v>265909.09090909094</v>
      </c>
      <c r="I5" s="13">
        <f>A!$B$41*I25/100</f>
        <v>265909.09090909094</v>
      </c>
      <c r="J5" s="13">
        <f>A!$B$41*J25/100</f>
        <v>265909.09090909094</v>
      </c>
      <c r="K5" s="13">
        <f>A!$B$41*K25/100</f>
        <v>265909.09090909094</v>
      </c>
      <c r="L5" s="13">
        <f>A!$B$41*L25/100</f>
        <v>265909.09090909094</v>
      </c>
      <c r="M5" s="13">
        <f>A!$B$41*M25/100</f>
        <v>265909.09090909094</v>
      </c>
      <c r="N5" s="13">
        <f t="shared" si="1"/>
        <v>3190909.0909090904</v>
      </c>
      <c r="O5" s="15"/>
      <c r="P5" s="12"/>
      <c r="Q5" s="12"/>
    </row>
    <row r="6" spans="1:17" x14ac:dyDescent="0.2">
      <c r="A6" s="7" t="s">
        <v>47</v>
      </c>
      <c r="B6" s="13">
        <f>B!$B$41*(B25/100)</f>
        <v>577975.39761372237</v>
      </c>
      <c r="C6" s="13">
        <f>B!$B$41*(C25/100)</f>
        <v>577975.39761372237</v>
      </c>
      <c r="D6" s="13">
        <f>B!$B$41*(D25/100)</f>
        <v>577975.39761372237</v>
      </c>
      <c r="E6" s="13">
        <f>B!$B$41*(E25/100)</f>
        <v>577975.39761372237</v>
      </c>
      <c r="F6" s="13">
        <f>B!$B$41*(F25/100)</f>
        <v>577975.39761372237</v>
      </c>
      <c r="G6" s="13">
        <f>B!$B$41*(G25/100)</f>
        <v>577975.39761372237</v>
      </c>
      <c r="H6" s="13">
        <f>B!$B$41*(H25/100)</f>
        <v>577975.39761372237</v>
      </c>
      <c r="I6" s="13">
        <f>B!$B$41*(I25/100)</f>
        <v>577975.39761372237</v>
      </c>
      <c r="J6" s="13">
        <f>B!$B$41*(J25/100)</f>
        <v>577975.39761372237</v>
      </c>
      <c r="K6" s="13">
        <f>B!$B$41*(K25/100)</f>
        <v>577975.39761372237</v>
      </c>
      <c r="L6" s="13">
        <f>B!$B$41*(L25/100)</f>
        <v>577975.39761372237</v>
      </c>
      <c r="M6" s="13">
        <f>B!$B$41*(M25/100)</f>
        <v>577975.39761372237</v>
      </c>
      <c r="N6" s="13">
        <f t="shared" si="1"/>
        <v>6935704.7713646702</v>
      </c>
      <c r="O6" s="15"/>
      <c r="P6" s="12"/>
      <c r="Q6" s="12"/>
    </row>
    <row r="7" spans="1:17" x14ac:dyDescent="0.2">
      <c r="A7" s="7" t="s">
        <v>48</v>
      </c>
      <c r="B7" s="13">
        <f>'C'!$B$41*B25/100</f>
        <v>191666.66666666669</v>
      </c>
      <c r="C7" s="13">
        <f>'C'!$B$41*C25/100</f>
        <v>191666.66666666669</v>
      </c>
      <c r="D7" s="13">
        <f>'C'!$B$41*D25/100</f>
        <v>191666.66666666669</v>
      </c>
      <c r="E7" s="13">
        <f>'C'!$B$41*E25/100</f>
        <v>191666.66666666669</v>
      </c>
      <c r="F7" s="13">
        <f>'C'!$B$41*F25/100</f>
        <v>191666.66666666669</v>
      </c>
      <c r="G7" s="13">
        <f>'C'!$B$41*G25/100</f>
        <v>191666.66666666669</v>
      </c>
      <c r="H7" s="13">
        <f>'C'!$B$41*H25/100</f>
        <v>191666.66666666669</v>
      </c>
      <c r="I7" s="13">
        <f>'C'!$B$41*I25/100</f>
        <v>191666.66666666669</v>
      </c>
      <c r="J7" s="13">
        <f>'C'!$B$41*J25/100</f>
        <v>191666.66666666669</v>
      </c>
      <c r="K7" s="13">
        <f>'C'!$B$41*K25/100</f>
        <v>191666.66666666669</v>
      </c>
      <c r="L7" s="13">
        <f>'C'!$B$41*L25/100</f>
        <v>191666.66666666669</v>
      </c>
      <c r="M7" s="13">
        <f>'C'!$B$41*M25/100</f>
        <v>191666.66666666669</v>
      </c>
      <c r="N7" s="13">
        <f t="shared" si="1"/>
        <v>2300000.0000000005</v>
      </c>
      <c r="O7" s="15"/>
      <c r="P7" s="12"/>
      <c r="Q7" s="12"/>
    </row>
    <row r="8" spans="1:17" x14ac:dyDescent="0.2">
      <c r="A8" s="7" t="s">
        <v>49</v>
      </c>
      <c r="B8" s="13">
        <f>D!$B$41*B25/100</f>
        <v>1402833.6807364936</v>
      </c>
      <c r="C8" s="13">
        <f>D!$B$41*C25/100</f>
        <v>1402833.6807364936</v>
      </c>
      <c r="D8" s="13">
        <f>D!$B$41*D25/100</f>
        <v>1402833.6807364936</v>
      </c>
      <c r="E8" s="13">
        <f>D!$B$41*E25/100</f>
        <v>1402833.6807364936</v>
      </c>
      <c r="F8" s="13">
        <f>D!$B$41*F25/100</f>
        <v>1402833.6807364936</v>
      </c>
      <c r="G8" s="13">
        <f>D!$B$41*G25/100</f>
        <v>1402833.6807364936</v>
      </c>
      <c r="H8" s="13">
        <f>D!$B$41*H25/100</f>
        <v>1402833.6807364936</v>
      </c>
      <c r="I8" s="13">
        <f>D!$B$41*I25/100</f>
        <v>1402833.6807364936</v>
      </c>
      <c r="J8" s="13">
        <f>D!$B$41*J25/100</f>
        <v>1402833.6807364936</v>
      </c>
      <c r="K8" s="13">
        <f>D!$B$41*K25/100</f>
        <v>1402833.6807364936</v>
      </c>
      <c r="L8" s="13">
        <f>D!$B$41*L25/100</f>
        <v>1402833.6807364936</v>
      </c>
      <c r="M8" s="13">
        <f>D!$B$41*M25/100</f>
        <v>1402833.6807364936</v>
      </c>
      <c r="N8" s="13">
        <f t="shared" si="1"/>
        <v>16834004.168837924</v>
      </c>
      <c r="O8" s="15"/>
      <c r="P8" s="12"/>
      <c r="Q8" s="12"/>
    </row>
    <row r="9" spans="1:17" x14ac:dyDescent="0.2">
      <c r="A9" s="7" t="s">
        <v>74</v>
      </c>
      <c r="B9" s="13">
        <f>E!$B$41*B25/100</f>
        <v>222386.56339999882</v>
      </c>
      <c r="C9" s="13">
        <f>E!$B$41*C25/100</f>
        <v>222386.56339999882</v>
      </c>
      <c r="D9" s="13">
        <f>E!$B$41*D25/100</f>
        <v>222386.56339999882</v>
      </c>
      <c r="E9" s="13">
        <f>E!$B$41*E25/100</f>
        <v>222386.56339999882</v>
      </c>
      <c r="F9" s="13">
        <f>E!$B$41*F25/100</f>
        <v>222386.56339999882</v>
      </c>
      <c r="G9" s="13">
        <f>E!$B$41*G25/100</f>
        <v>222386.56339999882</v>
      </c>
      <c r="H9" s="13">
        <f>E!$B$41*H25/100</f>
        <v>222386.56339999882</v>
      </c>
      <c r="I9" s="13">
        <f>E!$B$41*I25/100</f>
        <v>222386.56339999882</v>
      </c>
      <c r="J9" s="13">
        <f>E!$B$41*J25/100</f>
        <v>222386.56339999882</v>
      </c>
      <c r="K9" s="13">
        <f>E!$B$41*K25/100</f>
        <v>222386.56339999882</v>
      </c>
      <c r="L9" s="13">
        <f>E!$B$41*L25/100</f>
        <v>222386.56339999882</v>
      </c>
      <c r="M9" s="13">
        <f>E!$B$41*M25/100</f>
        <v>222386.56339999882</v>
      </c>
      <c r="N9" s="13">
        <f t="shared" si="1"/>
        <v>2668638.7607999868</v>
      </c>
      <c r="O9" s="15"/>
      <c r="P9" s="12"/>
      <c r="Q9" s="12"/>
    </row>
    <row r="10" spans="1:17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Q10" s="16"/>
    </row>
    <row r="11" spans="1:17" x14ac:dyDescent="0.2">
      <c r="A11" s="7" t="s">
        <v>50</v>
      </c>
      <c r="B11" s="13">
        <f t="shared" ref="B11:N11" si="2">SUM(B12:B16)</f>
        <v>770743.73703968723</v>
      </c>
      <c r="C11" s="13">
        <f t="shared" si="2"/>
        <v>770743.73703968723</v>
      </c>
      <c r="D11" s="13">
        <f t="shared" si="2"/>
        <v>770743.73703968723</v>
      </c>
      <c r="E11" s="13">
        <f t="shared" si="2"/>
        <v>770743.73703968723</v>
      </c>
      <c r="F11" s="13">
        <f t="shared" si="2"/>
        <v>770743.73703968723</v>
      </c>
      <c r="G11" s="13">
        <f t="shared" si="2"/>
        <v>770743.73703968723</v>
      </c>
      <c r="H11" s="13">
        <f t="shared" si="2"/>
        <v>770743.73703968723</v>
      </c>
      <c r="I11" s="13">
        <f t="shared" si="2"/>
        <v>770743.73703968723</v>
      </c>
      <c r="J11" s="13">
        <f t="shared" si="2"/>
        <v>770743.73703968723</v>
      </c>
      <c r="K11" s="13">
        <f t="shared" si="2"/>
        <v>770743.73703968723</v>
      </c>
      <c r="L11" s="13">
        <f t="shared" si="2"/>
        <v>770743.73703968723</v>
      </c>
      <c r="M11" s="13">
        <f t="shared" si="2"/>
        <v>770743.73703968723</v>
      </c>
      <c r="N11" s="13">
        <f t="shared" si="2"/>
        <v>9248924.8444762491</v>
      </c>
    </row>
    <row r="12" spans="1:17" x14ac:dyDescent="0.2">
      <c r="A12" s="7" t="s">
        <v>46</v>
      </c>
      <c r="B12" s="13">
        <f t="shared" ref="B12:M12" si="3">B5*$B19</f>
        <v>129428.58585611057</v>
      </c>
      <c r="C12" s="13">
        <f t="shared" si="3"/>
        <v>129428.58585611057</v>
      </c>
      <c r="D12" s="13">
        <f t="shared" si="3"/>
        <v>129428.58585611057</v>
      </c>
      <c r="E12" s="13">
        <f t="shared" si="3"/>
        <v>129428.58585611057</v>
      </c>
      <c r="F12" s="13">
        <f t="shared" si="3"/>
        <v>129428.58585611057</v>
      </c>
      <c r="G12" s="13">
        <f t="shared" si="3"/>
        <v>129428.58585611057</v>
      </c>
      <c r="H12" s="13">
        <f t="shared" si="3"/>
        <v>129428.58585611057</v>
      </c>
      <c r="I12" s="13">
        <f t="shared" si="3"/>
        <v>129428.58585611057</v>
      </c>
      <c r="J12" s="13">
        <f t="shared" si="3"/>
        <v>129428.58585611057</v>
      </c>
      <c r="K12" s="13">
        <f t="shared" si="3"/>
        <v>129428.58585611057</v>
      </c>
      <c r="L12" s="13">
        <f t="shared" si="3"/>
        <v>129428.58585611057</v>
      </c>
      <c r="M12" s="13">
        <f t="shared" si="3"/>
        <v>129428.58585611057</v>
      </c>
      <c r="N12" s="13">
        <f>SUM(B12:M12)</f>
        <v>1553143.0302733269</v>
      </c>
    </row>
    <row r="13" spans="1:17" x14ac:dyDescent="0.2">
      <c r="A13" s="7" t="s">
        <v>47</v>
      </c>
      <c r="B13" s="13">
        <f t="shared" ref="B13:M13" si="4">B6*$B20</f>
        <v>109744.92016597789</v>
      </c>
      <c r="C13" s="13">
        <f t="shared" si="4"/>
        <v>109744.92016597789</v>
      </c>
      <c r="D13" s="13">
        <f t="shared" si="4"/>
        <v>109744.92016597789</v>
      </c>
      <c r="E13" s="13">
        <f t="shared" si="4"/>
        <v>109744.92016597789</v>
      </c>
      <c r="F13" s="13">
        <f t="shared" si="4"/>
        <v>109744.92016597789</v>
      </c>
      <c r="G13" s="13">
        <f t="shared" si="4"/>
        <v>109744.92016597789</v>
      </c>
      <c r="H13" s="13">
        <f t="shared" si="4"/>
        <v>109744.92016597789</v>
      </c>
      <c r="I13" s="13">
        <f t="shared" si="4"/>
        <v>109744.92016597789</v>
      </c>
      <c r="J13" s="13">
        <f t="shared" si="4"/>
        <v>109744.92016597789</v>
      </c>
      <c r="K13" s="13">
        <f t="shared" si="4"/>
        <v>109744.92016597789</v>
      </c>
      <c r="L13" s="13">
        <f t="shared" si="4"/>
        <v>109744.92016597789</v>
      </c>
      <c r="M13" s="13">
        <f t="shared" si="4"/>
        <v>109744.92016597789</v>
      </c>
      <c r="N13" s="13">
        <f>SUM(B13:M13)</f>
        <v>1316939.0419917346</v>
      </c>
    </row>
    <row r="14" spans="1:17" x14ac:dyDescent="0.2">
      <c r="A14" s="7" t="s">
        <v>48</v>
      </c>
      <c r="B14" s="13">
        <f t="shared" ref="B14:M14" si="5">B7*$B21</f>
        <v>3367.6650165018318</v>
      </c>
      <c r="C14" s="13">
        <f t="shared" si="5"/>
        <v>3367.6650165018318</v>
      </c>
      <c r="D14" s="13">
        <f t="shared" si="5"/>
        <v>3367.6650165018318</v>
      </c>
      <c r="E14" s="13">
        <f t="shared" si="5"/>
        <v>3367.6650165018318</v>
      </c>
      <c r="F14" s="13">
        <f t="shared" si="5"/>
        <v>3367.6650165018318</v>
      </c>
      <c r="G14" s="13">
        <f t="shared" si="5"/>
        <v>3367.6650165018318</v>
      </c>
      <c r="H14" s="13">
        <f t="shared" si="5"/>
        <v>3367.6650165018318</v>
      </c>
      <c r="I14" s="13">
        <f t="shared" si="5"/>
        <v>3367.6650165018318</v>
      </c>
      <c r="J14" s="13">
        <f t="shared" si="5"/>
        <v>3367.6650165018318</v>
      </c>
      <c r="K14" s="13">
        <f t="shared" si="5"/>
        <v>3367.6650165018318</v>
      </c>
      <c r="L14" s="13">
        <f t="shared" si="5"/>
        <v>3367.6650165018318</v>
      </c>
      <c r="M14" s="13">
        <f t="shared" si="5"/>
        <v>3367.6650165018318</v>
      </c>
      <c r="N14" s="13">
        <f>SUM(B14:M14)</f>
        <v>40411.980198021978</v>
      </c>
    </row>
    <row r="15" spans="1:17" x14ac:dyDescent="0.2">
      <c r="A15" s="7" t="s">
        <v>49</v>
      </c>
      <c r="B15" s="13">
        <f t="shared" ref="B15:M15" si="6">B8*$B22</f>
        <v>478622.49098393187</v>
      </c>
      <c r="C15" s="13">
        <f t="shared" si="6"/>
        <v>478622.49098393187</v>
      </c>
      <c r="D15" s="13">
        <f t="shared" si="6"/>
        <v>478622.49098393187</v>
      </c>
      <c r="E15" s="13">
        <f t="shared" si="6"/>
        <v>478622.49098393187</v>
      </c>
      <c r="F15" s="13">
        <f t="shared" si="6"/>
        <v>478622.49098393187</v>
      </c>
      <c r="G15" s="13">
        <f t="shared" si="6"/>
        <v>478622.49098393187</v>
      </c>
      <c r="H15" s="13">
        <f t="shared" si="6"/>
        <v>478622.49098393187</v>
      </c>
      <c r="I15" s="13">
        <f t="shared" si="6"/>
        <v>478622.49098393187</v>
      </c>
      <c r="J15" s="13">
        <f t="shared" si="6"/>
        <v>478622.49098393187</v>
      </c>
      <c r="K15" s="13">
        <f t="shared" si="6"/>
        <v>478622.49098393187</v>
      </c>
      <c r="L15" s="13">
        <f t="shared" si="6"/>
        <v>478622.49098393187</v>
      </c>
      <c r="M15" s="13">
        <f t="shared" si="6"/>
        <v>478622.49098393187</v>
      </c>
      <c r="N15" s="13">
        <f>SUM(B15:M15)</f>
        <v>5743469.8918071836</v>
      </c>
    </row>
    <row r="16" spans="1:17" x14ac:dyDescent="0.2">
      <c r="A16" s="7" t="s">
        <v>74</v>
      </c>
      <c r="B16" s="13">
        <f t="shared" ref="B16:M16" si="7">B9*$B23</f>
        <v>49580.075017165029</v>
      </c>
      <c r="C16" s="13">
        <f t="shared" si="7"/>
        <v>49580.075017165029</v>
      </c>
      <c r="D16" s="13">
        <f t="shared" si="7"/>
        <v>49580.075017165029</v>
      </c>
      <c r="E16" s="13">
        <f t="shared" si="7"/>
        <v>49580.075017165029</v>
      </c>
      <c r="F16" s="13">
        <f t="shared" si="7"/>
        <v>49580.075017165029</v>
      </c>
      <c r="G16" s="13">
        <f t="shared" si="7"/>
        <v>49580.075017165029</v>
      </c>
      <c r="H16" s="13">
        <f t="shared" si="7"/>
        <v>49580.075017165029</v>
      </c>
      <c r="I16" s="13">
        <f t="shared" si="7"/>
        <v>49580.075017165029</v>
      </c>
      <c r="J16" s="13">
        <f t="shared" si="7"/>
        <v>49580.075017165029</v>
      </c>
      <c r="K16" s="13">
        <f t="shared" si="7"/>
        <v>49580.075017165029</v>
      </c>
      <c r="L16" s="13">
        <f t="shared" si="7"/>
        <v>49580.075017165029</v>
      </c>
      <c r="M16" s="13">
        <f t="shared" si="7"/>
        <v>49580.075017165029</v>
      </c>
      <c r="N16" s="13">
        <f>SUM(B16:M16)</f>
        <v>594960.9002059804</v>
      </c>
    </row>
    <row r="17" spans="1:14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 x14ac:dyDescent="0.2">
      <c r="A18" s="7" t="s">
        <v>51</v>
      </c>
      <c r="B18" s="28">
        <f>N11/N4</f>
        <v>0.2896692805834174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x14ac:dyDescent="0.2">
      <c r="A19" s="7" t="s">
        <v>46</v>
      </c>
      <c r="B19" s="6">
        <f>A!D25%</f>
        <v>0.48673998099733884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4" x14ac:dyDescent="0.2">
      <c r="A20" s="7" t="s">
        <v>47</v>
      </c>
      <c r="B20" s="6">
        <f>B!D25%</f>
        <v>0.18987818619802843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4" x14ac:dyDescent="0.2">
      <c r="A21" s="7" t="s">
        <v>48</v>
      </c>
      <c r="B21" s="6">
        <f>'C'!D25%</f>
        <v>1.7570426173053034E-2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4" x14ac:dyDescent="0.2">
      <c r="A22" s="7" t="s">
        <v>49</v>
      </c>
      <c r="B22" s="6">
        <f>D!D25%</f>
        <v>0.34118263451776626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x14ac:dyDescent="0.2">
      <c r="A23" s="7" t="s">
        <v>74</v>
      </c>
      <c r="B23" s="6">
        <f>E!D25%</f>
        <v>0.22294546153846134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4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4" x14ac:dyDescent="0.2">
      <c r="A25" s="7" t="s">
        <v>120</v>
      </c>
      <c r="B25" s="66">
        <f>100/12</f>
        <v>8.3333333333333339</v>
      </c>
      <c r="C25" s="66">
        <f t="shared" ref="C25:M25" si="8">100/12</f>
        <v>8.3333333333333339</v>
      </c>
      <c r="D25" s="66">
        <f t="shared" si="8"/>
        <v>8.3333333333333339</v>
      </c>
      <c r="E25" s="66">
        <f t="shared" si="8"/>
        <v>8.3333333333333339</v>
      </c>
      <c r="F25" s="66">
        <f t="shared" si="8"/>
        <v>8.3333333333333339</v>
      </c>
      <c r="G25" s="66">
        <f t="shared" si="8"/>
        <v>8.3333333333333339</v>
      </c>
      <c r="H25" s="66">
        <f t="shared" si="8"/>
        <v>8.3333333333333339</v>
      </c>
      <c r="I25" s="66">
        <f t="shared" si="8"/>
        <v>8.3333333333333339</v>
      </c>
      <c r="J25" s="66">
        <f t="shared" si="8"/>
        <v>8.3333333333333339</v>
      </c>
      <c r="K25" s="66">
        <f t="shared" si="8"/>
        <v>8.3333333333333339</v>
      </c>
      <c r="L25" s="66">
        <f t="shared" si="8"/>
        <v>8.3333333333333339</v>
      </c>
      <c r="M25" s="66">
        <f t="shared" si="8"/>
        <v>8.3333333333333339</v>
      </c>
      <c r="N25" s="9">
        <f>SUM(B25:M25)</f>
        <v>99.999999999999986</v>
      </c>
    </row>
    <row r="26" spans="1:14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9" spans="1:14" x14ac:dyDescent="0.2">
      <c r="A29" s="9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O20" sqref="O20"/>
    </sheetView>
  </sheetViews>
  <sheetFormatPr defaultColWidth="11.42578125" defaultRowHeight="12.75" x14ac:dyDescent="0.2"/>
  <cols>
    <col min="1" max="1" width="27" style="17" customWidth="1"/>
    <col min="2" max="4" width="9.7109375" style="17" customWidth="1"/>
    <col min="5" max="5" width="11.42578125" style="17" customWidth="1"/>
    <col min="6" max="13" width="9.7109375" style="17" customWidth="1"/>
    <col min="14" max="15" width="10.7109375" style="15" customWidth="1"/>
    <col min="16" max="16" width="7.28515625" style="15" customWidth="1"/>
    <col min="17" max="16384" width="11.42578125" style="17"/>
  </cols>
  <sheetData>
    <row r="2" spans="1:16" x14ac:dyDescent="0.2">
      <c r="A2"/>
      <c r="N2" s="15" t="s">
        <v>52</v>
      </c>
      <c r="O2" s="15" t="s">
        <v>52</v>
      </c>
      <c r="P2" s="15" t="s">
        <v>53</v>
      </c>
    </row>
    <row r="3" spans="1:16" x14ac:dyDescent="0.2">
      <c r="A3" s="15"/>
      <c r="B3" s="15" t="s">
        <v>31</v>
      </c>
      <c r="C3" s="15" t="s">
        <v>32</v>
      </c>
      <c r="D3" s="15" t="s">
        <v>33</v>
      </c>
      <c r="E3" s="15" t="s">
        <v>34</v>
      </c>
      <c r="F3" s="15" t="s">
        <v>35</v>
      </c>
      <c r="G3" s="15" t="s">
        <v>36</v>
      </c>
      <c r="H3" s="15" t="s">
        <v>37</v>
      </c>
      <c r="I3" s="15" t="s">
        <v>38</v>
      </c>
      <c r="J3" s="15" t="s">
        <v>39</v>
      </c>
      <c r="K3" s="15" t="s">
        <v>40</v>
      </c>
      <c r="L3" s="15" t="s">
        <v>41</v>
      </c>
      <c r="M3" s="15" t="s">
        <v>42</v>
      </c>
      <c r="N3" s="15" t="s">
        <v>54</v>
      </c>
      <c r="O3" s="15" t="s">
        <v>55</v>
      </c>
    </row>
    <row r="4" spans="1:1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6" x14ac:dyDescent="0.2">
      <c r="A5" s="26" t="s">
        <v>75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6" x14ac:dyDescent="0.2">
      <c r="A6" s="15" t="s">
        <v>76</v>
      </c>
      <c r="B6" s="14">
        <f>($O6/12)*(1+($P6/100))</f>
        <v>150000</v>
      </c>
      <c r="C6" s="14">
        <f t="shared" ref="C6:I6" si="0">($O6/12)*(1+($P6/100))</f>
        <v>150000</v>
      </c>
      <c r="D6" s="14">
        <f t="shared" si="0"/>
        <v>150000</v>
      </c>
      <c r="E6" s="14">
        <f t="shared" si="0"/>
        <v>150000</v>
      </c>
      <c r="F6" s="14">
        <f t="shared" si="0"/>
        <v>150000</v>
      </c>
      <c r="G6" s="14">
        <f t="shared" si="0"/>
        <v>150000</v>
      </c>
      <c r="H6" s="14">
        <f t="shared" si="0"/>
        <v>150000</v>
      </c>
      <c r="I6" s="14">
        <f t="shared" si="0"/>
        <v>150000</v>
      </c>
      <c r="J6" s="14">
        <f>($O6/12)*(1+($P6/100))</f>
        <v>150000</v>
      </c>
      <c r="K6" s="14">
        <f>($O6/12)*(1+($P6/100))</f>
        <v>150000</v>
      </c>
      <c r="L6" s="14">
        <f>($O6/12)*(1+($P6/100))</f>
        <v>150000</v>
      </c>
      <c r="M6" s="14">
        <f>($O6/12)*(1+($P6/100))</f>
        <v>150000</v>
      </c>
      <c r="N6" s="14">
        <f>SUM(B6:M6)</f>
        <v>1800000</v>
      </c>
      <c r="O6" s="14">
        <v>1800000</v>
      </c>
    </row>
    <row r="7" spans="1:16" x14ac:dyDescent="0.2">
      <c r="A7" s="15" t="s">
        <v>77</v>
      </c>
      <c r="B7" s="14">
        <f>B6*85%</f>
        <v>127500</v>
      </c>
      <c r="C7" s="14">
        <f t="shared" ref="C7:O7" si="1">C6*85%</f>
        <v>127500</v>
      </c>
      <c r="D7" s="14">
        <f t="shared" si="1"/>
        <v>127500</v>
      </c>
      <c r="E7" s="14">
        <f t="shared" si="1"/>
        <v>127500</v>
      </c>
      <c r="F7" s="14">
        <f t="shared" si="1"/>
        <v>127500</v>
      </c>
      <c r="G7" s="14">
        <f t="shared" si="1"/>
        <v>127500</v>
      </c>
      <c r="H7" s="14">
        <f t="shared" si="1"/>
        <v>127500</v>
      </c>
      <c r="I7" s="14">
        <f t="shared" si="1"/>
        <v>127500</v>
      </c>
      <c r="J7" s="14">
        <f t="shared" si="1"/>
        <v>127500</v>
      </c>
      <c r="K7" s="14">
        <f t="shared" si="1"/>
        <v>127500</v>
      </c>
      <c r="L7" s="14">
        <f t="shared" si="1"/>
        <v>127500</v>
      </c>
      <c r="M7" s="14">
        <f t="shared" si="1"/>
        <v>127500</v>
      </c>
      <c r="N7" s="14">
        <f t="shared" si="1"/>
        <v>1530000</v>
      </c>
      <c r="O7" s="14">
        <f t="shared" si="1"/>
        <v>1530000</v>
      </c>
    </row>
    <row r="8" spans="1:16" x14ac:dyDescent="0.2">
      <c r="A8" s="15" t="s">
        <v>78</v>
      </c>
      <c r="B8" s="14">
        <f>B6+B7</f>
        <v>277500</v>
      </c>
      <c r="C8" s="14">
        <f t="shared" ref="C8:O8" si="2">C6+C7</f>
        <v>277500</v>
      </c>
      <c r="D8" s="14">
        <f t="shared" si="2"/>
        <v>277500</v>
      </c>
      <c r="E8" s="14">
        <f t="shared" si="2"/>
        <v>277500</v>
      </c>
      <c r="F8" s="14">
        <f t="shared" si="2"/>
        <v>277500</v>
      </c>
      <c r="G8" s="14">
        <f t="shared" si="2"/>
        <v>277500</v>
      </c>
      <c r="H8" s="14">
        <f t="shared" si="2"/>
        <v>277500</v>
      </c>
      <c r="I8" s="14">
        <f t="shared" si="2"/>
        <v>277500</v>
      </c>
      <c r="J8" s="14">
        <f t="shared" si="2"/>
        <v>277500</v>
      </c>
      <c r="K8" s="14">
        <f t="shared" si="2"/>
        <v>277500</v>
      </c>
      <c r="L8" s="14">
        <f t="shared" si="2"/>
        <v>277500</v>
      </c>
      <c r="M8" s="14">
        <f t="shared" si="2"/>
        <v>277500</v>
      </c>
      <c r="N8" s="14">
        <f t="shared" si="2"/>
        <v>3330000</v>
      </c>
      <c r="O8" s="14">
        <f t="shared" si="2"/>
        <v>3330000</v>
      </c>
    </row>
    <row r="9" spans="1:16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6" x14ac:dyDescent="0.2">
      <c r="A10" s="15" t="s">
        <v>93</v>
      </c>
      <c r="B10" s="14">
        <f t="shared" ref="B10:M12" si="3">($O10/12)*(1+($P10/100))</f>
        <v>29166.666666666668</v>
      </c>
      <c r="C10" s="14">
        <f t="shared" si="3"/>
        <v>29166.666666666668</v>
      </c>
      <c r="D10" s="14">
        <f t="shared" si="3"/>
        <v>29166.666666666668</v>
      </c>
      <c r="E10" s="14">
        <f t="shared" si="3"/>
        <v>29166.666666666668</v>
      </c>
      <c r="F10" s="14">
        <f t="shared" si="3"/>
        <v>29166.666666666668</v>
      </c>
      <c r="G10" s="14">
        <f t="shared" si="3"/>
        <v>29166.666666666668</v>
      </c>
      <c r="H10" s="14">
        <f t="shared" si="3"/>
        <v>29166.666666666668</v>
      </c>
      <c r="I10" s="14">
        <f t="shared" si="3"/>
        <v>29166.666666666668</v>
      </c>
      <c r="J10" s="14">
        <f t="shared" si="3"/>
        <v>29166.666666666668</v>
      </c>
      <c r="K10" s="14">
        <f t="shared" si="3"/>
        <v>29166.666666666668</v>
      </c>
      <c r="L10" s="14">
        <f t="shared" si="3"/>
        <v>29166.666666666668</v>
      </c>
      <c r="M10" s="14">
        <f t="shared" si="3"/>
        <v>29166.666666666668</v>
      </c>
      <c r="N10" s="14">
        <f>SUM(B10:M10)</f>
        <v>350000.00000000006</v>
      </c>
      <c r="O10" s="14">
        <v>350000</v>
      </c>
    </row>
    <row r="11" spans="1:16" x14ac:dyDescent="0.2">
      <c r="A11" s="15" t="s">
        <v>79</v>
      </c>
      <c r="B11" s="14">
        <f t="shared" si="3"/>
        <v>5000</v>
      </c>
      <c r="C11" s="14">
        <f t="shared" si="3"/>
        <v>5000</v>
      </c>
      <c r="D11" s="14">
        <f t="shared" si="3"/>
        <v>5000</v>
      </c>
      <c r="E11" s="14">
        <f t="shared" si="3"/>
        <v>5000</v>
      </c>
      <c r="F11" s="14">
        <f t="shared" si="3"/>
        <v>5000</v>
      </c>
      <c r="G11" s="14">
        <f t="shared" si="3"/>
        <v>5000</v>
      </c>
      <c r="H11" s="14">
        <f t="shared" si="3"/>
        <v>5000</v>
      </c>
      <c r="I11" s="14">
        <f t="shared" si="3"/>
        <v>5000</v>
      </c>
      <c r="J11" s="14">
        <f t="shared" si="3"/>
        <v>5000</v>
      </c>
      <c r="K11" s="14">
        <f t="shared" si="3"/>
        <v>5000</v>
      </c>
      <c r="L11" s="14">
        <f t="shared" si="3"/>
        <v>5000</v>
      </c>
      <c r="M11" s="14">
        <f t="shared" si="3"/>
        <v>5000</v>
      </c>
      <c r="N11" s="14">
        <f>SUM(B11:M11)</f>
        <v>60000</v>
      </c>
      <c r="O11" s="14">
        <v>60000</v>
      </c>
    </row>
    <row r="12" spans="1:16" x14ac:dyDescent="0.2">
      <c r="A12" s="15" t="s">
        <v>80</v>
      </c>
      <c r="B12" s="14">
        <f t="shared" si="3"/>
        <v>5833.333333333333</v>
      </c>
      <c r="C12" s="14">
        <f t="shared" si="3"/>
        <v>5833.333333333333</v>
      </c>
      <c r="D12" s="14">
        <f t="shared" si="3"/>
        <v>5833.333333333333</v>
      </c>
      <c r="E12" s="14">
        <f t="shared" si="3"/>
        <v>5833.333333333333</v>
      </c>
      <c r="F12" s="14">
        <f t="shared" si="3"/>
        <v>5833.333333333333</v>
      </c>
      <c r="G12" s="14">
        <f t="shared" si="3"/>
        <v>5833.333333333333</v>
      </c>
      <c r="H12" s="14">
        <f t="shared" si="3"/>
        <v>5833.333333333333</v>
      </c>
      <c r="I12" s="14">
        <f t="shared" si="3"/>
        <v>5833.333333333333</v>
      </c>
      <c r="J12" s="14">
        <f t="shared" si="3"/>
        <v>5833.333333333333</v>
      </c>
      <c r="K12" s="14">
        <f t="shared" si="3"/>
        <v>5833.333333333333</v>
      </c>
      <c r="L12" s="14">
        <f t="shared" si="3"/>
        <v>5833.333333333333</v>
      </c>
      <c r="M12" s="14">
        <f t="shared" si="3"/>
        <v>5833.333333333333</v>
      </c>
      <c r="N12" s="14">
        <f>SUM(B12:M12)</f>
        <v>70000.000000000015</v>
      </c>
      <c r="O12" s="14">
        <v>70000</v>
      </c>
    </row>
    <row r="13" spans="1:16" x14ac:dyDescent="0.2">
      <c r="A13" s="15" t="s">
        <v>81</v>
      </c>
      <c r="B13" s="14">
        <f t="shared" ref="B13:M13" si="4">SUM(B10:B12)</f>
        <v>40000.000000000007</v>
      </c>
      <c r="C13" s="14">
        <f t="shared" si="4"/>
        <v>40000.000000000007</v>
      </c>
      <c r="D13" s="14">
        <f t="shared" si="4"/>
        <v>40000.000000000007</v>
      </c>
      <c r="E13" s="14">
        <f t="shared" si="4"/>
        <v>40000.000000000007</v>
      </c>
      <c r="F13" s="14">
        <f t="shared" si="4"/>
        <v>40000.000000000007</v>
      </c>
      <c r="G13" s="14">
        <f t="shared" si="4"/>
        <v>40000.000000000007</v>
      </c>
      <c r="H13" s="14">
        <f t="shared" si="4"/>
        <v>40000.000000000007</v>
      </c>
      <c r="I13" s="14">
        <f t="shared" si="4"/>
        <v>40000.000000000007</v>
      </c>
      <c r="J13" s="14">
        <f t="shared" si="4"/>
        <v>40000.000000000007</v>
      </c>
      <c r="K13" s="14">
        <f t="shared" si="4"/>
        <v>40000.000000000007</v>
      </c>
      <c r="L13" s="14">
        <f t="shared" si="4"/>
        <v>40000.000000000007</v>
      </c>
      <c r="M13" s="14">
        <f t="shared" si="4"/>
        <v>40000.000000000007</v>
      </c>
      <c r="N13" s="14">
        <f>SUM(B13:M13)</f>
        <v>480000.00000000006</v>
      </c>
      <c r="O13" s="14">
        <f>SUM(O10:O12)</f>
        <v>480000</v>
      </c>
    </row>
    <row r="14" spans="1:16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6" x14ac:dyDescent="0.2">
      <c r="A15" s="26" t="s">
        <v>82</v>
      </c>
      <c r="B15" s="14">
        <f t="shared" ref="B15:O15" si="5">B8+B13</f>
        <v>317500</v>
      </c>
      <c r="C15" s="14">
        <f t="shared" si="5"/>
        <v>317500</v>
      </c>
      <c r="D15" s="14">
        <f t="shared" si="5"/>
        <v>317500</v>
      </c>
      <c r="E15" s="14">
        <f t="shared" si="5"/>
        <v>317500</v>
      </c>
      <c r="F15" s="14">
        <f t="shared" si="5"/>
        <v>317500</v>
      </c>
      <c r="G15" s="14">
        <f t="shared" si="5"/>
        <v>317500</v>
      </c>
      <c r="H15" s="14">
        <f t="shared" si="5"/>
        <v>317500</v>
      </c>
      <c r="I15" s="14">
        <f t="shared" si="5"/>
        <v>317500</v>
      </c>
      <c r="J15" s="14">
        <f t="shared" si="5"/>
        <v>317500</v>
      </c>
      <c r="K15" s="14">
        <f t="shared" si="5"/>
        <v>317500</v>
      </c>
      <c r="L15" s="14">
        <f t="shared" si="5"/>
        <v>317500</v>
      </c>
      <c r="M15" s="14">
        <f t="shared" si="5"/>
        <v>317500</v>
      </c>
      <c r="N15" s="14">
        <f t="shared" si="5"/>
        <v>3810000</v>
      </c>
      <c r="O15" s="14">
        <f t="shared" si="5"/>
        <v>3810000</v>
      </c>
    </row>
    <row r="16" spans="1:16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6" x14ac:dyDescent="0.2">
      <c r="A17" s="26" t="s">
        <v>83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7"/>
    </row>
    <row r="18" spans="1:16" x14ac:dyDescent="0.2">
      <c r="A18" s="15" t="s">
        <v>84</v>
      </c>
      <c r="B18" s="14">
        <f>($O18/12)*(1+($P18/100))</f>
        <v>166666.66666666666</v>
      </c>
      <c r="C18" s="14">
        <f t="shared" ref="C18:M18" si="6">($O18/12)*(1+($P18/100))</f>
        <v>166666.66666666666</v>
      </c>
      <c r="D18" s="14">
        <f t="shared" si="6"/>
        <v>166666.66666666666</v>
      </c>
      <c r="E18" s="14">
        <f t="shared" si="6"/>
        <v>166666.66666666666</v>
      </c>
      <c r="F18" s="14">
        <f t="shared" si="6"/>
        <v>166666.66666666666</v>
      </c>
      <c r="G18" s="14">
        <f t="shared" si="6"/>
        <v>166666.66666666666</v>
      </c>
      <c r="H18" s="14">
        <f t="shared" si="6"/>
        <v>166666.66666666666</v>
      </c>
      <c r="I18" s="14">
        <f t="shared" si="6"/>
        <v>166666.66666666666</v>
      </c>
      <c r="J18" s="14">
        <f t="shared" si="6"/>
        <v>166666.66666666666</v>
      </c>
      <c r="K18" s="14">
        <f t="shared" si="6"/>
        <v>166666.66666666666</v>
      </c>
      <c r="L18" s="14">
        <f t="shared" si="6"/>
        <v>166666.66666666666</v>
      </c>
      <c r="M18" s="14">
        <f t="shared" si="6"/>
        <v>166666.66666666666</v>
      </c>
      <c r="N18" s="14">
        <f>SUM(B18:M18)</f>
        <v>2000000.0000000002</v>
      </c>
      <c r="O18" s="14">
        <v>2000000</v>
      </c>
    </row>
    <row r="19" spans="1:16" x14ac:dyDescent="0.2">
      <c r="A19" s="15" t="s">
        <v>85</v>
      </c>
      <c r="B19" s="14">
        <f t="shared" ref="B19:M21" si="7">($O19/12)*(1+($P19/100))</f>
        <v>148333.33333333334</v>
      </c>
      <c r="C19" s="14">
        <f t="shared" si="7"/>
        <v>148333.33333333334</v>
      </c>
      <c r="D19" s="14">
        <f t="shared" si="7"/>
        <v>148333.33333333334</v>
      </c>
      <c r="E19" s="14">
        <f t="shared" si="7"/>
        <v>148333.33333333334</v>
      </c>
      <c r="F19" s="14">
        <f t="shared" si="7"/>
        <v>148333.33333333334</v>
      </c>
      <c r="G19" s="14">
        <f t="shared" si="7"/>
        <v>148333.33333333334</v>
      </c>
      <c r="H19" s="14">
        <f t="shared" si="7"/>
        <v>148333.33333333334</v>
      </c>
      <c r="I19" s="14">
        <f t="shared" si="7"/>
        <v>148333.33333333334</v>
      </c>
      <c r="J19" s="14">
        <f t="shared" si="7"/>
        <v>148333.33333333334</v>
      </c>
      <c r="K19" s="14">
        <f t="shared" si="7"/>
        <v>148333.33333333334</v>
      </c>
      <c r="L19" s="14">
        <f t="shared" si="7"/>
        <v>148333.33333333334</v>
      </c>
      <c r="M19" s="14">
        <f t="shared" si="7"/>
        <v>148333.33333333334</v>
      </c>
      <c r="N19" s="14">
        <f>SUM(B19:M19)</f>
        <v>1779999.9999999998</v>
      </c>
      <c r="O19" s="14">
        <v>1780000</v>
      </c>
    </row>
    <row r="20" spans="1:16" x14ac:dyDescent="0.2">
      <c r="A20" s="15" t="s">
        <v>95</v>
      </c>
      <c r="B20" s="14">
        <f>($N20/12)*(1+($P20/100))</f>
        <v>25000</v>
      </c>
      <c r="C20" s="14">
        <f t="shared" ref="C20:M20" si="8">($N20/12)*(1+($P20/100))</f>
        <v>25000</v>
      </c>
      <c r="D20" s="14">
        <f t="shared" si="8"/>
        <v>25000</v>
      </c>
      <c r="E20" s="14">
        <f t="shared" si="8"/>
        <v>25000</v>
      </c>
      <c r="F20" s="14">
        <f t="shared" si="8"/>
        <v>25000</v>
      </c>
      <c r="G20" s="14">
        <f t="shared" si="8"/>
        <v>25000</v>
      </c>
      <c r="H20" s="14">
        <f t="shared" si="8"/>
        <v>25000</v>
      </c>
      <c r="I20" s="14">
        <f t="shared" si="8"/>
        <v>25000</v>
      </c>
      <c r="J20" s="14">
        <f t="shared" si="8"/>
        <v>25000</v>
      </c>
      <c r="K20" s="14">
        <f t="shared" si="8"/>
        <v>25000</v>
      </c>
      <c r="L20" s="14">
        <f t="shared" si="8"/>
        <v>25000</v>
      </c>
      <c r="M20" s="14">
        <f t="shared" si="8"/>
        <v>25000</v>
      </c>
      <c r="N20" s="14">
        <f>IF(E!D2&gt;17,300000)</f>
        <v>300000</v>
      </c>
      <c r="O20" s="14">
        <v>0</v>
      </c>
    </row>
    <row r="21" spans="1:16" x14ac:dyDescent="0.2">
      <c r="A21" s="15" t="s">
        <v>86</v>
      </c>
      <c r="B21" s="14">
        <f t="shared" si="7"/>
        <v>34166.666666666664</v>
      </c>
      <c r="C21" s="14">
        <f t="shared" si="7"/>
        <v>34166.666666666664</v>
      </c>
      <c r="D21" s="14">
        <f t="shared" si="7"/>
        <v>34166.666666666664</v>
      </c>
      <c r="E21" s="14">
        <f t="shared" si="7"/>
        <v>34166.666666666664</v>
      </c>
      <c r="F21" s="14">
        <f t="shared" si="7"/>
        <v>34166.666666666664</v>
      </c>
      <c r="G21" s="14">
        <f t="shared" si="7"/>
        <v>34166.666666666664</v>
      </c>
      <c r="H21" s="14">
        <f t="shared" si="7"/>
        <v>34166.666666666664</v>
      </c>
      <c r="I21" s="14">
        <f t="shared" si="7"/>
        <v>34166.666666666664</v>
      </c>
      <c r="J21" s="14">
        <f t="shared" si="7"/>
        <v>34166.666666666664</v>
      </c>
      <c r="K21" s="14">
        <f t="shared" si="7"/>
        <v>34166.666666666664</v>
      </c>
      <c r="L21" s="14">
        <f t="shared" si="7"/>
        <v>34166.666666666664</v>
      </c>
      <c r="M21" s="14">
        <f t="shared" si="7"/>
        <v>34166.666666666664</v>
      </c>
      <c r="N21" s="14">
        <f>SUM(B21:M21)</f>
        <v>410000.00000000006</v>
      </c>
      <c r="O21" s="14">
        <v>410000</v>
      </c>
    </row>
    <row r="22" spans="1:16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6" x14ac:dyDescent="0.2">
      <c r="A23" s="15" t="s">
        <v>87</v>
      </c>
      <c r="B23" s="14">
        <f>SUM(B18:B21)</f>
        <v>374166.66666666669</v>
      </c>
      <c r="C23" s="14">
        <f t="shared" ref="C23:O23" si="9">SUM(C18:C21)</f>
        <v>374166.66666666669</v>
      </c>
      <c r="D23" s="14">
        <f t="shared" si="9"/>
        <v>374166.66666666669</v>
      </c>
      <c r="E23" s="14">
        <f t="shared" si="9"/>
        <v>374166.66666666669</v>
      </c>
      <c r="F23" s="14">
        <f t="shared" si="9"/>
        <v>374166.66666666669</v>
      </c>
      <c r="G23" s="14">
        <f t="shared" si="9"/>
        <v>374166.66666666669</v>
      </c>
      <c r="H23" s="14">
        <f t="shared" si="9"/>
        <v>374166.66666666669</v>
      </c>
      <c r="I23" s="14">
        <f t="shared" si="9"/>
        <v>374166.66666666669</v>
      </c>
      <c r="J23" s="14">
        <f t="shared" si="9"/>
        <v>374166.66666666669</v>
      </c>
      <c r="K23" s="14">
        <f t="shared" si="9"/>
        <v>374166.66666666669</v>
      </c>
      <c r="L23" s="14">
        <f t="shared" si="9"/>
        <v>374166.66666666669</v>
      </c>
      <c r="M23" s="14">
        <f t="shared" si="9"/>
        <v>374166.66666666669</v>
      </c>
      <c r="N23" s="14">
        <f t="shared" si="9"/>
        <v>4490000</v>
      </c>
      <c r="O23" s="14">
        <f t="shared" si="9"/>
        <v>4190000</v>
      </c>
    </row>
    <row r="24" spans="1:16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6" s="15" customFormat="1" ht="20.25" customHeight="1" x14ac:dyDescent="0.2">
      <c r="A25" s="26" t="s">
        <v>89</v>
      </c>
      <c r="B25" s="14">
        <f>(B15+B23)</f>
        <v>691666.66666666674</v>
      </c>
      <c r="C25" s="14">
        <f t="shared" ref="C25:M25" si="10">(C15+C23)</f>
        <v>691666.66666666674</v>
      </c>
      <c r="D25" s="14">
        <f t="shared" si="10"/>
        <v>691666.66666666674</v>
      </c>
      <c r="E25" s="14">
        <f t="shared" si="10"/>
        <v>691666.66666666674</v>
      </c>
      <c r="F25" s="14">
        <f t="shared" si="10"/>
        <v>691666.66666666674</v>
      </c>
      <c r="G25" s="14">
        <f t="shared" si="10"/>
        <v>691666.66666666674</v>
      </c>
      <c r="H25" s="14">
        <f t="shared" si="10"/>
        <v>691666.66666666674</v>
      </c>
      <c r="I25" s="14">
        <f t="shared" si="10"/>
        <v>691666.66666666674</v>
      </c>
      <c r="J25" s="14">
        <f t="shared" si="10"/>
        <v>691666.66666666674</v>
      </c>
      <c r="K25" s="14">
        <f t="shared" si="10"/>
        <v>691666.66666666674</v>
      </c>
      <c r="L25" s="14">
        <f t="shared" si="10"/>
        <v>691666.66666666674</v>
      </c>
      <c r="M25" s="14">
        <f t="shared" si="10"/>
        <v>691666.66666666674</v>
      </c>
      <c r="N25" s="14">
        <f>(N15+N23)</f>
        <v>8300000</v>
      </c>
      <c r="O25" s="14">
        <f>O15+O23</f>
        <v>8000000</v>
      </c>
      <c r="P25" s="14">
        <f>((N25/O25)-1)*100</f>
        <v>3.7500000000000089</v>
      </c>
    </row>
    <row r="26" spans="1:16" s="27" customFormat="1" x14ac:dyDescent="0.2"/>
    <row r="27" spans="1:16" s="27" customFormat="1" x14ac:dyDescent="0.2"/>
    <row r="28" spans="1:16" s="15" customFormat="1" x14ac:dyDescent="0.2"/>
    <row r="29" spans="1:16" s="15" customFormat="1" x14ac:dyDescent="0.2"/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6" hidden="1" x14ac:dyDescent="0.2">
      <c r="A31" s="15" t="s">
        <v>56</v>
      </c>
      <c r="B31" s="15">
        <f>B32+B33</f>
        <v>5110.1333333333332</v>
      </c>
      <c r="C31" s="15">
        <f t="shared" ref="C31:M31" si="11">C32+C33</f>
        <v>5110.1333333333332</v>
      </c>
      <c r="D31" s="15">
        <f t="shared" si="11"/>
        <v>5110.1333333333332</v>
      </c>
      <c r="E31" s="15">
        <f t="shared" si="11"/>
        <v>5110.1333333333332</v>
      </c>
      <c r="F31" s="15">
        <f t="shared" si="11"/>
        <v>5110.1333333333332</v>
      </c>
      <c r="G31" s="15">
        <f t="shared" si="11"/>
        <v>5110.1333333333332</v>
      </c>
      <c r="H31" s="15">
        <f t="shared" si="11"/>
        <v>5110.1333333333332</v>
      </c>
      <c r="I31" s="15">
        <f t="shared" si="11"/>
        <v>5110.1333333333332</v>
      </c>
      <c r="J31" s="15">
        <f t="shared" si="11"/>
        <v>5110.1333333333332</v>
      </c>
      <c r="K31" s="15">
        <f t="shared" si="11"/>
        <v>5110.1333333333332</v>
      </c>
      <c r="L31" s="15">
        <f t="shared" si="11"/>
        <v>5110.1333333333332</v>
      </c>
      <c r="M31" s="15">
        <f t="shared" si="11"/>
        <v>5110.1333333333332</v>
      </c>
      <c r="N31" s="15">
        <f>SUM(B31:M31)</f>
        <v>61321.599999999984</v>
      </c>
      <c r="O31" s="15">
        <f>SUM(O32:O33)</f>
        <v>49341.333333333328</v>
      </c>
      <c r="P31" s="15">
        <f>(N31/O31-1)*100</f>
        <v>24.280386964276033</v>
      </c>
    </row>
    <row r="32" spans="1:16" hidden="1" x14ac:dyDescent="0.2">
      <c r="A32" s="15" t="s">
        <v>57</v>
      </c>
      <c r="B32" s="15">
        <f>($O32/12)*(1+($P32/100))</f>
        <v>3494.2444444444441</v>
      </c>
      <c r="C32" s="15">
        <f t="shared" ref="C32:M33" si="12">($O32/12)*(1+($P32/100))</f>
        <v>3494.2444444444441</v>
      </c>
      <c r="D32" s="15">
        <f t="shared" si="12"/>
        <v>3494.2444444444441</v>
      </c>
      <c r="E32" s="15">
        <f t="shared" si="12"/>
        <v>3494.2444444444441</v>
      </c>
      <c r="F32" s="15">
        <f t="shared" si="12"/>
        <v>3494.2444444444441</v>
      </c>
      <c r="G32" s="15">
        <f t="shared" si="12"/>
        <v>3494.2444444444441</v>
      </c>
      <c r="H32" s="15">
        <f t="shared" si="12"/>
        <v>3494.2444444444441</v>
      </c>
      <c r="I32" s="15">
        <f t="shared" si="12"/>
        <v>3494.2444444444441</v>
      </c>
      <c r="J32" s="15">
        <f t="shared" si="12"/>
        <v>3494.2444444444441</v>
      </c>
      <c r="K32" s="15">
        <f t="shared" si="12"/>
        <v>3494.2444444444441</v>
      </c>
      <c r="L32" s="15">
        <f t="shared" si="12"/>
        <v>3494.2444444444441</v>
      </c>
      <c r="M32" s="15">
        <f t="shared" si="12"/>
        <v>3494.2444444444441</v>
      </c>
      <c r="N32" s="15">
        <f>SUM(B32:M32)</f>
        <v>41930.93333333332</v>
      </c>
      <c r="O32" s="15">
        <f>22463/9*12</f>
        <v>29950.666666666664</v>
      </c>
      <c r="P32" s="15">
        <v>40</v>
      </c>
    </row>
    <row r="33" spans="1:16" hidden="1" x14ac:dyDescent="0.2">
      <c r="A33" s="18" t="s">
        <v>58</v>
      </c>
      <c r="B33" s="15">
        <f>($O33/12)*(1+($P33/100))</f>
        <v>1615.8888888888889</v>
      </c>
      <c r="C33" s="15">
        <f t="shared" si="12"/>
        <v>1615.8888888888889</v>
      </c>
      <c r="D33" s="15">
        <f t="shared" si="12"/>
        <v>1615.8888888888889</v>
      </c>
      <c r="E33" s="15">
        <f t="shared" si="12"/>
        <v>1615.8888888888889</v>
      </c>
      <c r="F33" s="15">
        <f t="shared" si="12"/>
        <v>1615.8888888888889</v>
      </c>
      <c r="G33" s="15">
        <f t="shared" si="12"/>
        <v>1615.8888888888889</v>
      </c>
      <c r="H33" s="15">
        <f t="shared" si="12"/>
        <v>1615.8888888888889</v>
      </c>
      <c r="I33" s="15">
        <f t="shared" si="12"/>
        <v>1615.8888888888889</v>
      </c>
      <c r="J33" s="15">
        <f t="shared" si="12"/>
        <v>1615.8888888888889</v>
      </c>
      <c r="K33" s="15">
        <f t="shared" si="12"/>
        <v>1615.8888888888889</v>
      </c>
      <c r="L33" s="15">
        <f t="shared" si="12"/>
        <v>1615.8888888888889</v>
      </c>
      <c r="M33" s="15">
        <f t="shared" si="12"/>
        <v>1615.8888888888889</v>
      </c>
      <c r="N33" s="15">
        <f>SUM(B33:M33)</f>
        <v>19390.666666666668</v>
      </c>
      <c r="O33" s="15">
        <f>14543/9*12</f>
        <v>19390.666666666668</v>
      </c>
      <c r="P33" s="15">
        <v>0</v>
      </c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4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4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4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4" s="19" customFormat="1" x14ac:dyDescent="0.2">
      <c r="N52" s="15"/>
    </row>
    <row r="53" spans="1:14" s="19" customFormat="1" x14ac:dyDescent="0.2">
      <c r="N53" s="15"/>
    </row>
    <row r="54" spans="1:14" s="19" customFormat="1" x14ac:dyDescent="0.2">
      <c r="N54" s="15"/>
    </row>
    <row r="55" spans="1:14" s="19" customFormat="1" x14ac:dyDescent="0.2">
      <c r="N55" s="15"/>
    </row>
    <row r="56" spans="1:14" s="19" customFormat="1" x14ac:dyDescent="0.2">
      <c r="N56" s="15"/>
    </row>
    <row r="57" spans="1:14" s="19" customFormat="1" x14ac:dyDescent="0.2">
      <c r="N57" s="15"/>
    </row>
    <row r="58" spans="1:14" s="19" customFormat="1" x14ac:dyDescent="0.2">
      <c r="N58" s="15"/>
    </row>
    <row r="59" spans="1:14" s="19" customFormat="1" x14ac:dyDescent="0.2">
      <c r="N59" s="15"/>
    </row>
    <row r="60" spans="1:14" s="19" customFormat="1" x14ac:dyDescent="0.2">
      <c r="N60" s="15"/>
    </row>
    <row r="61" spans="1:14" s="19" customFormat="1" x14ac:dyDescent="0.2">
      <c r="N61" s="15"/>
    </row>
    <row r="62" spans="1:14" s="19" customFormat="1" x14ac:dyDescent="0.2">
      <c r="N62" s="15"/>
    </row>
    <row r="63" spans="1:14" s="19" customFormat="1" x14ac:dyDescent="0.2">
      <c r="N63" s="15"/>
    </row>
    <row r="64" spans="1:14" s="19" customFormat="1" x14ac:dyDescent="0.2">
      <c r="N64" s="15"/>
    </row>
    <row r="65" spans="14:14" s="19" customFormat="1" x14ac:dyDescent="0.2">
      <c r="N65" s="15"/>
    </row>
    <row r="66" spans="14:14" s="19" customFormat="1" x14ac:dyDescent="0.2">
      <c r="N66" s="15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14" sqref="B14"/>
    </sheetView>
  </sheetViews>
  <sheetFormatPr defaultColWidth="18" defaultRowHeight="12.75" x14ac:dyDescent="0.2"/>
  <cols>
    <col min="1" max="1" width="37.5703125" style="15" customWidth="1"/>
    <col min="2" max="6" width="10.28515625" style="15" customWidth="1"/>
    <col min="7" max="7" width="14.28515625" style="15" customWidth="1"/>
    <col min="8" max="13" width="11.28515625" style="15" bestFit="1" customWidth="1"/>
    <col min="14" max="14" width="11.28515625" style="15" customWidth="1"/>
    <col min="15" max="16384" width="18" style="15"/>
  </cols>
  <sheetData>
    <row r="1" spans="1:14" x14ac:dyDescent="0.2">
      <c r="E1" s="15" t="s">
        <v>59</v>
      </c>
    </row>
    <row r="3" spans="1:14" x14ac:dyDescent="0.2">
      <c r="B3" s="15" t="s">
        <v>31</v>
      </c>
      <c r="C3" s="15" t="s">
        <v>32</v>
      </c>
      <c r="D3" s="15" t="s">
        <v>33</v>
      </c>
      <c r="E3" s="15" t="s">
        <v>34</v>
      </c>
      <c r="F3" s="15" t="s">
        <v>35</v>
      </c>
      <c r="G3" s="15" t="s">
        <v>36</v>
      </c>
      <c r="H3" s="15" t="s">
        <v>37</v>
      </c>
      <c r="I3" s="15" t="s">
        <v>38</v>
      </c>
      <c r="J3" s="15" t="s">
        <v>39</v>
      </c>
      <c r="K3" s="15" t="s">
        <v>40</v>
      </c>
      <c r="L3" s="15" t="s">
        <v>41</v>
      </c>
      <c r="M3" s="15" t="s">
        <v>42</v>
      </c>
      <c r="N3" s="15" t="s">
        <v>20</v>
      </c>
    </row>
    <row r="5" spans="1:14" x14ac:dyDescent="0.2">
      <c r="A5" s="7" t="s">
        <v>45</v>
      </c>
      <c r="B5" s="15">
        <f>Margens!B4</f>
        <v>2660771.3993259724</v>
      </c>
      <c r="C5" s="15">
        <f>Margens!C4</f>
        <v>2660771.3993259724</v>
      </c>
      <c r="D5" s="15">
        <f>Margens!D4</f>
        <v>2660771.3993259724</v>
      </c>
      <c r="E5" s="15">
        <f>Margens!E4</f>
        <v>2660771.3993259724</v>
      </c>
      <c r="F5" s="15">
        <f>Margens!F4</f>
        <v>2660771.3993259724</v>
      </c>
      <c r="G5" s="15">
        <f>Margens!G4</f>
        <v>2660771.3993259724</v>
      </c>
      <c r="H5" s="15">
        <f>Margens!H4</f>
        <v>2660771.3993259724</v>
      </c>
      <c r="I5" s="15">
        <f>Margens!I4</f>
        <v>2660771.3993259724</v>
      </c>
      <c r="J5" s="15">
        <f>Margens!J4</f>
        <v>2660771.3993259724</v>
      </c>
      <c r="K5" s="15">
        <f>Margens!K4</f>
        <v>2660771.3993259724</v>
      </c>
      <c r="L5" s="15">
        <f>Margens!L4</f>
        <v>2660771.3993259724</v>
      </c>
      <c r="M5" s="15">
        <f>Margens!M4</f>
        <v>2660771.3993259724</v>
      </c>
      <c r="N5" s="15">
        <f>SUM(B5:M5)</f>
        <v>31929256.791911677</v>
      </c>
    </row>
    <row r="7" spans="1:14" x14ac:dyDescent="0.2">
      <c r="A7" s="15" t="s">
        <v>91</v>
      </c>
      <c r="B7" s="14">
        <f>Margens!B11</f>
        <v>770743.73703968723</v>
      </c>
      <c r="C7" s="14">
        <f>Margens!C11</f>
        <v>770743.73703968723</v>
      </c>
      <c r="D7" s="14">
        <f>Margens!D11</f>
        <v>770743.73703968723</v>
      </c>
      <c r="E7" s="14">
        <f>Margens!E11</f>
        <v>770743.73703968723</v>
      </c>
      <c r="F7" s="14">
        <f>Margens!F11</f>
        <v>770743.73703968723</v>
      </c>
      <c r="G7" s="14">
        <f>Margens!G11</f>
        <v>770743.73703968723</v>
      </c>
      <c r="H7" s="14">
        <f>Margens!H11</f>
        <v>770743.73703968723</v>
      </c>
      <c r="I7" s="14">
        <f>Margens!I11</f>
        <v>770743.73703968723</v>
      </c>
      <c r="J7" s="14">
        <f>Margens!J11</f>
        <v>770743.73703968723</v>
      </c>
      <c r="K7" s="14">
        <f>Margens!K11</f>
        <v>770743.73703968723</v>
      </c>
      <c r="L7" s="14">
        <f>Margens!L11</f>
        <v>770743.73703968723</v>
      </c>
      <c r="M7" s="14">
        <f>Margens!M11</f>
        <v>770743.73703968723</v>
      </c>
      <c r="N7" s="14">
        <f>SUM(B7:M7)</f>
        <v>9248924.8444762472</v>
      </c>
    </row>
    <row r="9" spans="1:14" x14ac:dyDescent="0.2">
      <c r="A9" s="15" t="s">
        <v>121</v>
      </c>
      <c r="B9" s="14">
        <f>-'Custos Fixos'!B25</f>
        <v>-691666.66666666674</v>
      </c>
      <c r="C9" s="14">
        <f>-'Custos Fixos'!C25</f>
        <v>-691666.66666666674</v>
      </c>
      <c r="D9" s="14">
        <f>-'Custos Fixos'!D25</f>
        <v>-691666.66666666674</v>
      </c>
      <c r="E9" s="14">
        <f>-'Custos Fixos'!E25</f>
        <v>-691666.66666666674</v>
      </c>
      <c r="F9" s="14">
        <f>-'Custos Fixos'!F25</f>
        <v>-691666.66666666674</v>
      </c>
      <c r="G9" s="14">
        <f>-'Custos Fixos'!G25</f>
        <v>-691666.66666666674</v>
      </c>
      <c r="H9" s="14">
        <f>-'Custos Fixos'!H25</f>
        <v>-691666.66666666674</v>
      </c>
      <c r="I9" s="14">
        <f>-'Custos Fixos'!I25</f>
        <v>-691666.66666666674</v>
      </c>
      <c r="J9" s="14">
        <f>-'Custos Fixos'!J25</f>
        <v>-691666.66666666674</v>
      </c>
      <c r="K9" s="14">
        <f>-'Custos Fixos'!K25</f>
        <v>-691666.66666666674</v>
      </c>
      <c r="L9" s="14">
        <f>-'Custos Fixos'!L25</f>
        <v>-691666.66666666674</v>
      </c>
      <c r="M9" s="14">
        <f>-'Custos Fixos'!M25</f>
        <v>-691666.66666666674</v>
      </c>
      <c r="N9" s="14">
        <f>SUM(B9:M9)</f>
        <v>-8300000.0000000028</v>
      </c>
    </row>
    <row r="11" spans="1:14" x14ac:dyDescent="0.2">
      <c r="A11" s="15" t="s">
        <v>122</v>
      </c>
      <c r="B11" s="15">
        <f>B5*8%</f>
        <v>212861.71194607779</v>
      </c>
      <c r="C11" s="15">
        <f t="shared" ref="C11:M11" si="0">C5*8%</f>
        <v>212861.71194607779</v>
      </c>
      <c r="D11" s="15">
        <f t="shared" si="0"/>
        <v>212861.71194607779</v>
      </c>
      <c r="E11" s="15">
        <f t="shared" si="0"/>
        <v>212861.71194607779</v>
      </c>
      <c r="F11" s="15">
        <f t="shared" si="0"/>
        <v>212861.71194607779</v>
      </c>
      <c r="G11" s="15">
        <f t="shared" si="0"/>
        <v>212861.71194607779</v>
      </c>
      <c r="H11" s="15">
        <f t="shared" si="0"/>
        <v>212861.71194607779</v>
      </c>
      <c r="I11" s="15">
        <f t="shared" si="0"/>
        <v>212861.71194607779</v>
      </c>
      <c r="J11" s="15">
        <f t="shared" si="0"/>
        <v>212861.71194607779</v>
      </c>
      <c r="K11" s="15">
        <f t="shared" si="0"/>
        <v>212861.71194607779</v>
      </c>
      <c r="L11" s="15">
        <f t="shared" si="0"/>
        <v>212861.71194607779</v>
      </c>
      <c r="M11" s="15">
        <f t="shared" si="0"/>
        <v>212861.71194607779</v>
      </c>
      <c r="N11" s="15">
        <f>SUM(B11:M11)</f>
        <v>2554340.5433529336</v>
      </c>
    </row>
    <row r="12" spans="1:14" x14ac:dyDescent="0.2">
      <c r="A12" s="4" t="s">
        <v>123</v>
      </c>
      <c r="B12" s="15">
        <f>B11</f>
        <v>212861.71194607779</v>
      </c>
      <c r="C12" s="15">
        <f>B12+C11</f>
        <v>425723.42389215558</v>
      </c>
      <c r="D12" s="15">
        <f t="shared" ref="D12:M12" si="1">C12+D11</f>
        <v>638585.1358382334</v>
      </c>
      <c r="E12" s="15">
        <f t="shared" si="1"/>
        <v>851446.84778431116</v>
      </c>
      <c r="F12" s="15">
        <f t="shared" si="1"/>
        <v>1064308.5597303889</v>
      </c>
      <c r="G12" s="15">
        <f t="shared" si="1"/>
        <v>1277170.2716764668</v>
      </c>
      <c r="H12" s="15">
        <f t="shared" si="1"/>
        <v>1490031.9836225447</v>
      </c>
      <c r="I12" s="15">
        <f t="shared" si="1"/>
        <v>1702893.6955686226</v>
      </c>
      <c r="J12" s="15">
        <f t="shared" si="1"/>
        <v>1915755.4075147004</v>
      </c>
      <c r="K12" s="15">
        <f t="shared" si="1"/>
        <v>2128617.1194607783</v>
      </c>
      <c r="L12" s="15">
        <f t="shared" si="1"/>
        <v>2341478.831406856</v>
      </c>
      <c r="M12" s="15">
        <f t="shared" si="1"/>
        <v>2554340.5433529336</v>
      </c>
    </row>
    <row r="13" spans="1:14" x14ac:dyDescent="0.2">
      <c r="A13" s="4"/>
    </row>
    <row r="14" spans="1:14" x14ac:dyDescent="0.2">
      <c r="A14" s="15" t="s">
        <v>90</v>
      </c>
      <c r="B14" s="62">
        <f>-(IF(B12&gt;20000,(B12-20000)*10%,0))</f>
        <v>-19286.171194607781</v>
      </c>
      <c r="C14" s="62">
        <f>-(IF(C12&gt;40000,(C12-40000)*10%+B14,0))</f>
        <v>-19286.171194607781</v>
      </c>
      <c r="D14" s="62">
        <f>-(IF(D12&gt;60000,((D12-60000)*10%)+SUM($B14:C$14),0))</f>
        <v>-19286.171194607778</v>
      </c>
      <c r="E14" s="62">
        <f>-IF(E12&gt;80000,((E12-80000)*10%)+SUM($B14:D$14),0)</f>
        <v>-19286.171194607785</v>
      </c>
      <c r="F14" s="62">
        <f>-IF(F12&gt;100000,((F12-100000)*10%)+SUM($B14:E$14),0)</f>
        <v>-19286.17119460777</v>
      </c>
      <c r="G14" s="62">
        <f>-IF(G12&gt;120000,((G12-120000)*10%)+SUM($B14:F$14),0)</f>
        <v>-19286.171194607785</v>
      </c>
      <c r="H14" s="62">
        <f>-IF(H12&gt;140000,((H12-140000)*10%)+SUM($B14:G$14),0)</f>
        <v>-19286.171194607799</v>
      </c>
      <c r="I14" s="62">
        <f>-IF(I12&gt;160000,((I12-160000)*10%)+SUM($B14:H$14),0)</f>
        <v>-19286.17119460777</v>
      </c>
      <c r="J14" s="62">
        <f>-IF(J12&gt;180000,((J12-180000)*10%)+SUM($B14:I$14),0)</f>
        <v>-19286.171194607799</v>
      </c>
      <c r="K14" s="62">
        <f>-IF(K12&gt;200000,((K12-200000)*10%)+SUM($B14:J$14),0)</f>
        <v>-19286.171194607799</v>
      </c>
      <c r="L14" s="62">
        <f>-IF(L12&gt;220000,((L12-220000)*10%)+SUM($B14:K$14),0)</f>
        <v>-19286.17119460777</v>
      </c>
      <c r="M14" s="62">
        <f>-IF(M12&gt;240000,((M12-240000)*10%)+SUM($B14:L$14),0)</f>
        <v>-19286.171194607741</v>
      </c>
      <c r="N14" s="14">
        <f>SUM(B14:M14)</f>
        <v>-231434.05433529336</v>
      </c>
    </row>
    <row r="16" spans="1:14" x14ac:dyDescent="0.2">
      <c r="A16" s="15" t="s">
        <v>60</v>
      </c>
      <c r="B16" s="14">
        <f>B7+B9+B14</f>
        <v>59790.899178412699</v>
      </c>
      <c r="C16" s="14">
        <f t="shared" ref="C16:M16" si="2">C7+C9+C14</f>
        <v>59790.899178412699</v>
      </c>
      <c r="D16" s="14">
        <f t="shared" si="2"/>
        <v>59790.899178412707</v>
      </c>
      <c r="E16" s="14">
        <f t="shared" si="2"/>
        <v>59790.899178412699</v>
      </c>
      <c r="F16" s="14">
        <f t="shared" si="2"/>
        <v>59790.899178412714</v>
      </c>
      <c r="G16" s="14">
        <f t="shared" si="2"/>
        <v>59790.899178412699</v>
      </c>
      <c r="H16" s="14">
        <f t="shared" si="2"/>
        <v>59790.899178412685</v>
      </c>
      <c r="I16" s="14">
        <f t="shared" si="2"/>
        <v>59790.899178412714</v>
      </c>
      <c r="J16" s="14">
        <f t="shared" si="2"/>
        <v>59790.899178412685</v>
      </c>
      <c r="K16" s="14">
        <f t="shared" si="2"/>
        <v>59790.899178412685</v>
      </c>
      <c r="L16" s="14">
        <f t="shared" si="2"/>
        <v>59790.899178412714</v>
      </c>
      <c r="M16" s="14">
        <f t="shared" si="2"/>
        <v>59790.899178412743</v>
      </c>
      <c r="N16" s="14">
        <f>SUM(B16:M16)</f>
        <v>717490.79014095245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topLeftCell="A10" workbookViewId="0">
      <selection activeCell="F20" sqref="F20"/>
    </sheetView>
  </sheetViews>
  <sheetFormatPr defaultColWidth="11.42578125" defaultRowHeight="12.75" x14ac:dyDescent="0.2"/>
  <cols>
    <col min="1" max="1" width="43.140625" style="7" bestFit="1" customWidth="1"/>
    <col min="2" max="2" width="17" style="7" customWidth="1"/>
    <col min="3" max="3" width="12.7109375" style="9" customWidth="1"/>
    <col min="4" max="4" width="11.42578125" style="7" customWidth="1"/>
    <col min="5" max="16384" width="11.42578125" style="11"/>
  </cols>
  <sheetData>
    <row r="2" spans="1:4" x14ac:dyDescent="0.2">
      <c r="B2" s="7" t="s">
        <v>61</v>
      </c>
    </row>
    <row r="3" spans="1:4" x14ac:dyDescent="0.2">
      <c r="B3" s="5"/>
      <c r="C3" s="5"/>
    </row>
    <row r="4" spans="1:4" x14ac:dyDescent="0.2">
      <c r="A4" s="7" t="s">
        <v>62</v>
      </c>
      <c r="B4" s="13">
        <v>6000000</v>
      </c>
      <c r="C4" s="5"/>
    </row>
    <row r="5" spans="1:4" x14ac:dyDescent="0.2">
      <c r="A5" s="7" t="s">
        <v>110</v>
      </c>
      <c r="B5" s="13">
        <f>Margens!N4</f>
        <v>31929256.791911677</v>
      </c>
    </row>
    <row r="6" spans="1:4" x14ac:dyDescent="0.2">
      <c r="B6" s="29"/>
    </row>
    <row r="8" spans="1:4" x14ac:dyDescent="0.2">
      <c r="A8" s="20" t="s">
        <v>63</v>
      </c>
      <c r="B8" s="11"/>
    </row>
    <row r="9" spans="1:4" x14ac:dyDescent="0.2">
      <c r="A9" s="20"/>
      <c r="B9" s="7" t="s">
        <v>64</v>
      </c>
      <c r="C9" s="9" t="s">
        <v>64</v>
      </c>
      <c r="D9" s="7" t="s">
        <v>64</v>
      </c>
    </row>
    <row r="10" spans="1:4" x14ac:dyDescent="0.2">
      <c r="B10" s="7" t="s">
        <v>65</v>
      </c>
      <c r="C10" s="9" t="s">
        <v>66</v>
      </c>
      <c r="D10" s="7" t="s">
        <v>67</v>
      </c>
    </row>
    <row r="12" spans="1:4" ht="18" x14ac:dyDescent="0.25">
      <c r="A12" s="7" t="s">
        <v>68</v>
      </c>
      <c r="B12" s="21">
        <v>15</v>
      </c>
      <c r="C12" s="69">
        <f>Resultado!N16/B4*100</f>
        <v>11.958179835682541</v>
      </c>
      <c r="D12" s="14">
        <f>C12-B12</f>
        <v>-3.0418201643174587</v>
      </c>
    </row>
    <row r="13" spans="1:4" ht="18" x14ac:dyDescent="0.25">
      <c r="A13" s="7" t="s">
        <v>69</v>
      </c>
      <c r="B13" s="21">
        <v>8</v>
      </c>
      <c r="C13" s="69">
        <f>Resultado!N16/B5*100</f>
        <v>2.2471264984868276</v>
      </c>
      <c r="D13" s="14">
        <f>C13-B13</f>
        <v>-5.7528735015131724</v>
      </c>
    </row>
    <row r="14" spans="1:4" x14ac:dyDescent="0.2">
      <c r="D14" s="15"/>
    </row>
    <row r="15" spans="1:4" x14ac:dyDescent="0.2">
      <c r="D15" s="15"/>
    </row>
    <row r="16" spans="1:4" x14ac:dyDescent="0.2">
      <c r="A16" s="20" t="s">
        <v>70</v>
      </c>
    </row>
    <row r="17" spans="1:4" x14ac:dyDescent="0.2">
      <c r="A17"/>
      <c r="B17" s="7" t="s">
        <v>64</v>
      </c>
      <c r="C17" s="4" t="s">
        <v>64</v>
      </c>
      <c r="D17" s="9" t="s">
        <v>64</v>
      </c>
    </row>
    <row r="18" spans="1:4" x14ac:dyDescent="0.2">
      <c r="A18" s="1" t="s">
        <v>21</v>
      </c>
      <c r="B18" s="7" t="s">
        <v>71</v>
      </c>
      <c r="C18" s="1" t="s">
        <v>65</v>
      </c>
      <c r="D18" s="9" t="s">
        <v>66</v>
      </c>
    </row>
    <row r="19" spans="1:4" ht="18" x14ac:dyDescent="0.25">
      <c r="A19" s="2" t="s">
        <v>22</v>
      </c>
      <c r="B19" s="22">
        <v>1</v>
      </c>
      <c r="C19" s="13" t="s">
        <v>92</v>
      </c>
      <c r="D19" s="70">
        <v>1</v>
      </c>
    </row>
    <row r="20" spans="1:4" ht="18" x14ac:dyDescent="0.25">
      <c r="A20" s="2" t="s">
        <v>23</v>
      </c>
      <c r="B20" s="22">
        <v>0.03</v>
      </c>
      <c r="C20" s="3" t="s">
        <v>137</v>
      </c>
      <c r="D20" s="70">
        <f>B!B40</f>
        <v>3.6666666666666674E-2</v>
      </c>
    </row>
    <row r="21" spans="1:4" ht="18" x14ac:dyDescent="0.25">
      <c r="A21" s="2" t="s">
        <v>24</v>
      </c>
      <c r="B21" s="23">
        <v>0.01</v>
      </c>
      <c r="C21" s="25" t="s">
        <v>124</v>
      </c>
      <c r="D21" s="70">
        <f>'C'!B40</f>
        <v>0.01</v>
      </c>
    </row>
    <row r="22" spans="1:4" ht="18" x14ac:dyDescent="0.25">
      <c r="A22" s="2" t="s">
        <v>25</v>
      </c>
      <c r="B22" s="22">
        <v>0.14000000000000001</v>
      </c>
      <c r="C22" s="3" t="s">
        <v>72</v>
      </c>
      <c r="D22" s="70">
        <f>D!B40</f>
        <v>0.13277894736842108</v>
      </c>
    </row>
    <row r="23" spans="1:4" ht="18" x14ac:dyDescent="0.25">
      <c r="A23" s="7" t="s">
        <v>73</v>
      </c>
      <c r="B23" s="24">
        <v>0</v>
      </c>
      <c r="C23" s="13" t="s">
        <v>92</v>
      </c>
      <c r="D23" s="70">
        <f>E!B40</f>
        <v>4.6073934160820305E-2</v>
      </c>
    </row>
    <row r="26" spans="1:4" x14ac:dyDescent="0.2">
      <c r="A26" s="4" t="s">
        <v>103</v>
      </c>
    </row>
    <row r="27" spans="1:4" x14ac:dyDescent="0.2">
      <c r="A27" s="4" t="s">
        <v>138</v>
      </c>
      <c r="B27" s="15">
        <f>'Custos Fixos'!N25</f>
        <v>8300000</v>
      </c>
    </row>
    <row r="28" spans="1:4" x14ac:dyDescent="0.2">
      <c r="A28" s="4" t="s">
        <v>139</v>
      </c>
      <c r="B28" s="67">
        <f>Margens!B18</f>
        <v>0.2896692805834174</v>
      </c>
    </row>
    <row r="29" spans="1:4" ht="18" x14ac:dyDescent="0.25">
      <c r="A29" s="4" t="s">
        <v>140</v>
      </c>
      <c r="B29" s="68">
        <f>B27/B28</f>
        <v>28653366.291665886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Margens</vt:lpstr>
      <vt:lpstr>Custos Fixos</vt:lpstr>
      <vt:lpstr>Resultado</vt:lpstr>
      <vt:lpstr>Índices</vt:lpstr>
      <vt:lpstr>produto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Treinamento</dc:creator>
  <cp:lastModifiedBy>Roberto</cp:lastModifiedBy>
  <cp:lastPrinted>1999-06-24T14:41:41Z</cp:lastPrinted>
  <dcterms:created xsi:type="dcterms:W3CDTF">1999-06-20T23:43:52Z</dcterms:created>
  <dcterms:modified xsi:type="dcterms:W3CDTF">2014-08-07T13:40:39Z</dcterms:modified>
</cp:coreProperties>
</file>