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10" windowWidth="12120" windowHeight="8445"/>
  </bookViews>
  <sheets>
    <sheet name="exercício 2" sheetId="2" r:id="rId1"/>
    <sheet name="exercício 3" sheetId="22" r:id="rId2"/>
    <sheet name="exercício 4" sheetId="12" r:id="rId3"/>
    <sheet name="exercício 5 presumido" sheetId="19" r:id="rId4"/>
    <sheet name="exercício 5 Real" sheetId="25" r:id="rId5"/>
    <sheet name="exercício 6" sheetId="21" r:id="rId6"/>
    <sheet name="9" sheetId="23" r:id="rId7"/>
    <sheet name="exercício 8" sheetId="13" r:id="rId8"/>
  </sheets>
  <calcPr calcId="145621"/>
</workbook>
</file>

<file path=xl/calcChain.xml><?xml version="1.0" encoding="utf-8"?>
<calcChain xmlns="http://schemas.openxmlformats.org/spreadsheetml/2006/main">
  <c r="F30" i="25" l="1"/>
  <c r="F29" i="25"/>
  <c r="F24" i="25"/>
  <c r="F23" i="25"/>
  <c r="C15" i="25"/>
  <c r="D15" i="25"/>
  <c r="E15" i="25"/>
  <c r="B15" i="25"/>
  <c r="C13" i="25"/>
  <c r="D13" i="25"/>
  <c r="E13" i="25"/>
  <c r="B13" i="25"/>
  <c r="C14" i="25"/>
  <c r="D14" i="25"/>
  <c r="E14" i="25"/>
  <c r="B14" i="25"/>
  <c r="C12" i="25"/>
  <c r="D12" i="25"/>
  <c r="E12" i="25"/>
  <c r="B12" i="25"/>
  <c r="E11" i="25"/>
  <c r="D11" i="25"/>
  <c r="C11" i="25"/>
  <c r="B11" i="25"/>
  <c r="E9" i="25"/>
  <c r="D9" i="25"/>
  <c r="D16" i="25" s="1"/>
  <c r="C9" i="25"/>
  <c r="B9" i="25"/>
  <c r="E2" i="25"/>
  <c r="D2" i="25"/>
  <c r="C2" i="25"/>
  <c r="B2" i="25"/>
  <c r="C2" i="19"/>
  <c r="D2" i="19"/>
  <c r="E2" i="19"/>
  <c r="B2" i="19"/>
  <c r="C11" i="19"/>
  <c r="D11" i="19"/>
  <c r="E11" i="19"/>
  <c r="B11" i="19"/>
  <c r="C9" i="19"/>
  <c r="C16" i="19" s="1"/>
  <c r="C18" i="19" s="1"/>
  <c r="D9" i="19"/>
  <c r="E9" i="19"/>
  <c r="B9" i="19"/>
  <c r="C15" i="19"/>
  <c r="D15" i="19"/>
  <c r="E15" i="19"/>
  <c r="B15" i="19"/>
  <c r="C14" i="19"/>
  <c r="D14" i="19"/>
  <c r="E14" i="19"/>
  <c r="B14" i="19"/>
  <c r="C13" i="19"/>
  <c r="D13" i="19"/>
  <c r="E13" i="19"/>
  <c r="B13" i="19"/>
  <c r="C12" i="19"/>
  <c r="D12" i="19"/>
  <c r="E12" i="19"/>
  <c r="B12" i="19"/>
  <c r="B6" i="23"/>
  <c r="B7" i="23" s="1"/>
  <c r="B9" i="23" s="1"/>
  <c r="C4" i="23"/>
  <c r="D8" i="22"/>
  <c r="C7" i="22"/>
  <c r="E7" i="22" s="1"/>
  <c r="D7" i="22"/>
  <c r="B7" i="22"/>
  <c r="C6" i="22"/>
  <c r="C8" i="22" s="1"/>
  <c r="D6" i="22"/>
  <c r="B6" i="22"/>
  <c r="B8" i="22" s="1"/>
  <c r="D10" i="2"/>
  <c r="C10" i="2"/>
  <c r="B10" i="2"/>
  <c r="D9" i="2"/>
  <c r="C9" i="2"/>
  <c r="B9" i="2"/>
  <c r="D8" i="2"/>
  <c r="C8" i="2"/>
  <c r="B8" i="2"/>
  <c r="D5" i="2"/>
  <c r="C5" i="2"/>
  <c r="B5" i="2"/>
  <c r="C7" i="21"/>
  <c r="C8" i="21" s="1"/>
  <c r="C9" i="21" s="1"/>
  <c r="B7" i="21"/>
  <c r="B8" i="21"/>
  <c r="B12" i="21" s="1"/>
  <c r="C9" i="13"/>
  <c r="D9" i="13"/>
  <c r="E9" i="13"/>
  <c r="F9" i="13"/>
  <c r="G5" i="13"/>
  <c r="G7" i="13"/>
  <c r="G9" i="13"/>
  <c r="B9" i="13"/>
  <c r="D16" i="12"/>
  <c r="E16" i="12" s="1"/>
  <c r="G16" i="12" s="1"/>
  <c r="D17" i="12"/>
  <c r="E17" i="12" s="1"/>
  <c r="G17" i="12" s="1"/>
  <c r="I17" i="12" s="1"/>
  <c r="D18" i="12"/>
  <c r="E18" i="12" s="1"/>
  <c r="G18" i="12" s="1"/>
  <c r="I18" i="12" s="1"/>
  <c r="H16" i="12"/>
  <c r="H19" i="12" s="1"/>
  <c r="H17" i="12"/>
  <c r="H18" i="12"/>
  <c r="D5" i="12"/>
  <c r="E5" i="12" s="1"/>
  <c r="G5" i="12" s="1"/>
  <c r="I5" i="12" s="1"/>
  <c r="D6" i="12"/>
  <c r="E6" i="12" s="1"/>
  <c r="G6" i="12" s="1"/>
  <c r="I6" i="12" s="1"/>
  <c r="D4" i="12"/>
  <c r="E4" i="12" s="1"/>
  <c r="G4" i="12" s="1"/>
  <c r="H4" i="12"/>
  <c r="H7" i="12" s="1"/>
  <c r="H5" i="12"/>
  <c r="H6" i="12"/>
  <c r="B9" i="21"/>
  <c r="F2" i="25" l="1"/>
  <c r="E16" i="25"/>
  <c r="E18" i="25" s="1"/>
  <c r="C16" i="25"/>
  <c r="C18" i="25" s="1"/>
  <c r="B16" i="25"/>
  <c r="B18" i="25" s="1"/>
  <c r="D18" i="25"/>
  <c r="D17" i="25"/>
  <c r="B16" i="19"/>
  <c r="B18" i="19" s="1"/>
  <c r="D16" i="19"/>
  <c r="D18" i="19" s="1"/>
  <c r="F2" i="19"/>
  <c r="E16" i="19"/>
  <c r="E18" i="19" s="1"/>
  <c r="C17" i="19"/>
  <c r="I4" i="12"/>
  <c r="G7" i="12"/>
  <c r="I16" i="12"/>
  <c r="G19" i="12"/>
  <c r="C11" i="2"/>
  <c r="C13" i="2" s="1"/>
  <c r="E6" i="22"/>
  <c r="E5" i="2"/>
  <c r="C6" i="23"/>
  <c r="C7" i="23" s="1"/>
  <c r="B12" i="23" s="1"/>
  <c r="D11" i="2"/>
  <c r="D13" i="2" s="1"/>
  <c r="B11" i="2"/>
  <c r="B13" i="2" s="1"/>
  <c r="C17" i="25" l="1"/>
  <c r="E17" i="25"/>
  <c r="B17" i="25"/>
  <c r="F17" i="25" s="1"/>
  <c r="D17" i="19"/>
  <c r="B17" i="19"/>
  <c r="E17" i="19"/>
  <c r="B12" i="2"/>
  <c r="E12" i="2" s="1"/>
  <c r="E13" i="22"/>
  <c r="E8" i="22"/>
  <c r="E11" i="22" s="1"/>
  <c r="I7" i="12"/>
  <c r="B11" i="12"/>
  <c r="D12" i="2"/>
  <c r="C12" i="2"/>
  <c r="B23" i="12"/>
  <c r="I19" i="12"/>
  <c r="F18" i="25" l="1"/>
  <c r="F26" i="25" s="1"/>
  <c r="F22" i="25"/>
  <c r="F17" i="19"/>
  <c r="F18" i="19" s="1"/>
  <c r="F24" i="19" s="1"/>
  <c r="E13" i="2"/>
  <c r="E19" i="2" s="1"/>
  <c r="E17" i="2"/>
  <c r="F22" i="19" l="1"/>
  <c r="F28" i="19" s="1"/>
  <c r="F27" i="19" l="1"/>
</calcChain>
</file>

<file path=xl/comments1.xml><?xml version="1.0" encoding="utf-8"?>
<comments xmlns="http://schemas.openxmlformats.org/spreadsheetml/2006/main">
  <authors>
    <author>Roberto</author>
  </authors>
  <commentList>
    <comment ref="D2" authorId="0">
      <text>
        <r>
          <rPr>
            <b/>
            <sz val="8"/>
            <color indexed="81"/>
            <rFont val="Tahoma"/>
            <family val="2"/>
          </rPr>
          <t>ver tabela de ICMS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ver tabela de ICMS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</author>
  </authors>
  <commentList>
    <comment ref="A8" authorId="0">
      <text>
        <r>
          <rPr>
            <sz val="9"/>
            <color indexed="81"/>
            <rFont val="Tahoma"/>
            <family val="2"/>
          </rPr>
          <t>indicar o percentual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indicar o percentual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</author>
  </authors>
  <commentList>
    <comment ref="A8" authorId="0">
      <text>
        <r>
          <rPr>
            <sz val="9"/>
            <color indexed="81"/>
            <rFont val="Tahoma"/>
            <family val="2"/>
          </rPr>
          <t>indicar o percentual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indicar o percentual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<sst xmlns="http://schemas.openxmlformats.org/spreadsheetml/2006/main" count="176" uniqueCount="106">
  <si>
    <t>qtd</t>
  </si>
  <si>
    <t>lucro</t>
  </si>
  <si>
    <t>pv</t>
  </si>
  <si>
    <t>produto</t>
  </si>
  <si>
    <t>A</t>
  </si>
  <si>
    <t>B</t>
  </si>
  <si>
    <t>C</t>
  </si>
  <si>
    <t>preço</t>
  </si>
  <si>
    <t>MOD</t>
  </si>
  <si>
    <t>faturamento</t>
  </si>
  <si>
    <t>total</t>
  </si>
  <si>
    <t>MC</t>
  </si>
  <si>
    <t>Linha</t>
  </si>
  <si>
    <t>cmp</t>
  </si>
  <si>
    <t>outros</t>
  </si>
  <si>
    <t>mc</t>
  </si>
  <si>
    <t>mctotal</t>
  </si>
  <si>
    <t>% mc</t>
  </si>
  <si>
    <t>custos fixos</t>
  </si>
  <si>
    <t>Total</t>
  </si>
  <si>
    <t>ICMS(-)</t>
  </si>
  <si>
    <t>ICMS(+)</t>
  </si>
  <si>
    <t>tenis</t>
  </si>
  <si>
    <t>bola</t>
  </si>
  <si>
    <t>roupa</t>
  </si>
  <si>
    <t xml:space="preserve">b) MC = pv -cv </t>
  </si>
  <si>
    <t>45.000 = 2000 pv - [(90 x 2000) + ( 2000 pv x 0,10)]</t>
  </si>
  <si>
    <t>pv = 125</t>
  </si>
  <si>
    <t>D</t>
  </si>
  <si>
    <t>E</t>
  </si>
  <si>
    <t>receita total</t>
  </si>
  <si>
    <t>MC%</t>
  </si>
  <si>
    <t>b) MC= 29% , portanto Custos variáveis representam 71% da receita total</t>
  </si>
  <si>
    <t>Lucro = Receita Total - Custo Total</t>
  </si>
  <si>
    <t>20.000 = RT - 80000 - 0,71RT</t>
  </si>
  <si>
    <t>100.000 = 0,29 RT</t>
  </si>
  <si>
    <t>RT = 100.000 / 0,29 = 344.827</t>
  </si>
  <si>
    <t>C) produto C que possui a maior margem absoluta e relativa (41%)</t>
  </si>
  <si>
    <t>COFINS(-)</t>
  </si>
  <si>
    <t>PEO</t>
  </si>
  <si>
    <t>Produto</t>
  </si>
  <si>
    <t>quantidades</t>
  </si>
  <si>
    <t>p.v.unitário R$</t>
  </si>
  <si>
    <t>mat.prima R$/unid</t>
  </si>
  <si>
    <t>MOD R$/un.</t>
  </si>
  <si>
    <t>outros R$/un.</t>
  </si>
  <si>
    <t>PIS(-)</t>
  </si>
  <si>
    <t>IRPJ(-)</t>
  </si>
  <si>
    <t>CSLL(-)</t>
  </si>
  <si>
    <t>M.C.Unitária R$</t>
  </si>
  <si>
    <t>M.C.Total R$</t>
  </si>
  <si>
    <t>Lucro "Gerencial"</t>
  </si>
  <si>
    <t>Patrim. Líquido</t>
  </si>
  <si>
    <t>Rentabilidade%</t>
  </si>
  <si>
    <t>% ICMS(-)</t>
  </si>
  <si>
    <t>ACHOCOL.</t>
  </si>
  <si>
    <t>DOCES</t>
  </si>
  <si>
    <t>LATICINIOS</t>
  </si>
  <si>
    <t>BISCOITOS</t>
  </si>
  <si>
    <t>quantidade</t>
  </si>
  <si>
    <t>m.prima unitária</t>
  </si>
  <si>
    <t>outros unitário</t>
  </si>
  <si>
    <t>Impostos</t>
  </si>
  <si>
    <t>Comissão</t>
  </si>
  <si>
    <t>Custos Fixos</t>
  </si>
  <si>
    <t>Lucro Gerencial</t>
  </si>
  <si>
    <t>% ICMS(+)</t>
  </si>
  <si>
    <t>Antes</t>
  </si>
  <si>
    <t>Depois</t>
  </si>
  <si>
    <t>material</t>
  </si>
  <si>
    <t>mc unitária</t>
  </si>
  <si>
    <t>mc%</t>
  </si>
  <si>
    <t>X</t>
  </si>
  <si>
    <t>mc total</t>
  </si>
  <si>
    <t>X= 8334 / 4,17 = 1999 calças</t>
  </si>
  <si>
    <t>X= MC Total / mc unitária pós desconto</t>
  </si>
  <si>
    <t>Custos e despesas indiretas (fixas)</t>
  </si>
  <si>
    <t>Lucratividade %</t>
  </si>
  <si>
    <t>MC unitária R$</t>
  </si>
  <si>
    <t>MC total R$</t>
  </si>
  <si>
    <t>mc unit.</t>
  </si>
  <si>
    <t>volume</t>
  </si>
  <si>
    <t>pv unit.</t>
  </si>
  <si>
    <t>mc %</t>
  </si>
  <si>
    <t>Custo Fixo</t>
  </si>
  <si>
    <t>Lucro</t>
  </si>
  <si>
    <t>atual</t>
  </si>
  <si>
    <t>futuro</t>
  </si>
  <si>
    <t>custo médio</t>
  </si>
  <si>
    <t>impostos e comissões</t>
  </si>
  <si>
    <t>X= 375.000 / 40</t>
  </si>
  <si>
    <t xml:space="preserve">X = </t>
  </si>
  <si>
    <t>unidades</t>
  </si>
  <si>
    <t>Receita Total</t>
  </si>
  <si>
    <t>OBS: inserir alíquota correta</t>
  </si>
  <si>
    <t>PIS(+)</t>
  </si>
  <si>
    <t>COFINS(+)</t>
  </si>
  <si>
    <t>Lucro Antes IRPJ / CSLL</t>
  </si>
  <si>
    <t>IRPJ / CSLL</t>
  </si>
  <si>
    <t>Lucro Líquido</t>
  </si>
  <si>
    <t>d) margem de A deve ser de 76000 + 10.450 ( diferença de lucro)</t>
  </si>
  <si>
    <t>margem unitária de A deve ser de 86450 / 30000 unidades = 2,88</t>
  </si>
  <si>
    <t>mc = pv - cv unitário</t>
  </si>
  <si>
    <t>2,88 = pv - [(4+0,20+0,67) + ( 0,26pv)]</t>
  </si>
  <si>
    <t>pv = 10,47</t>
  </si>
  <si>
    <t>OBS: voce pode usar a ferramenta atingir metas do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</si>
</sst>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0_);[Red]\(0.0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2" applyNumberFormat="1" applyFont="1"/>
    <xf numFmtId="9" fontId="0" fillId="0" borderId="0" xfId="1" applyFon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164" fontId="0" fillId="0" borderId="0" xfId="2" applyFont="1"/>
    <xf numFmtId="164" fontId="0" fillId="0" borderId="0" xfId="0" applyNumberFormat="1"/>
    <xf numFmtId="0" fontId="6" fillId="0" borderId="0" xfId="0" applyFont="1"/>
    <xf numFmtId="165" fontId="6" fillId="0" borderId="0" xfId="2" applyNumberFormat="1" applyFont="1"/>
    <xf numFmtId="9" fontId="6" fillId="0" borderId="0" xfId="1" applyFont="1"/>
    <xf numFmtId="0" fontId="2" fillId="0" borderId="0" xfId="0" applyFont="1" applyAlignment="1">
      <alignment horizontal="center"/>
    </xf>
    <xf numFmtId="165" fontId="2" fillId="0" borderId="0" xfId="2" applyNumberFormat="1" applyFont="1" applyAlignment="1">
      <alignment horizontal="center"/>
    </xf>
    <xf numFmtId="9" fontId="2" fillId="0" borderId="0" xfId="1" applyFont="1" applyAlignment="1">
      <alignment horizontal="center"/>
    </xf>
    <xf numFmtId="40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0" xfId="2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workbookViewId="0">
      <selection activeCell="F26" sqref="F26"/>
    </sheetView>
  </sheetViews>
  <sheetFormatPr defaultRowHeight="12.75" x14ac:dyDescent="0.2"/>
  <cols>
    <col min="1" max="1" width="21.85546875" style="3" customWidth="1"/>
    <col min="2" max="2" width="11.5703125" style="3" bestFit="1" customWidth="1"/>
    <col min="3" max="3" width="10.85546875" style="3" bestFit="1" customWidth="1"/>
    <col min="4" max="4" width="10.140625" style="3" customWidth="1"/>
    <col min="5" max="5" width="11.85546875" style="3" bestFit="1" customWidth="1"/>
    <col min="6" max="6" width="11.28515625" style="3" bestFit="1" customWidth="1"/>
    <col min="7" max="7" width="10.28515625" style="3" bestFit="1" customWidth="1"/>
    <col min="8" max="8" width="9.140625" style="3"/>
    <col min="9" max="9" width="9.28515625" style="3" bestFit="1" customWidth="1"/>
    <col min="10" max="10" width="10.28515625" style="3" bestFit="1" customWidth="1"/>
    <col min="11" max="11" width="9.28515625" style="3" bestFit="1" customWidth="1"/>
    <col min="12" max="16384" width="9.140625" style="3"/>
  </cols>
  <sheetData>
    <row r="2" spans="1:13" x14ac:dyDescent="0.2">
      <c r="A2" s="3" t="s">
        <v>3</v>
      </c>
      <c r="B2" s="3" t="s">
        <v>4</v>
      </c>
      <c r="C2" s="3" t="s">
        <v>5</v>
      </c>
      <c r="D2" s="3" t="s">
        <v>6</v>
      </c>
      <c r="E2" s="3" t="s">
        <v>19</v>
      </c>
    </row>
    <row r="3" spans="1:13" x14ac:dyDescent="0.2">
      <c r="A3" s="3" t="s">
        <v>59</v>
      </c>
      <c r="B3" s="4">
        <v>30000</v>
      </c>
      <c r="C3" s="4">
        <v>25000</v>
      </c>
      <c r="D3" s="4">
        <v>10000</v>
      </c>
    </row>
    <row r="4" spans="1:13" x14ac:dyDescent="0.2">
      <c r="A4" s="3" t="s">
        <v>7</v>
      </c>
      <c r="B4" s="6">
        <v>10</v>
      </c>
      <c r="C4" s="6">
        <v>7</v>
      </c>
      <c r="D4" s="6">
        <v>12</v>
      </c>
      <c r="E4" s="6"/>
      <c r="F4" s="4"/>
      <c r="G4" s="4"/>
      <c r="H4" s="6"/>
      <c r="I4" s="4"/>
      <c r="J4" s="7"/>
      <c r="K4" s="4"/>
      <c r="L4" s="7"/>
      <c r="M4" s="5"/>
    </row>
    <row r="5" spans="1:13" x14ac:dyDescent="0.2">
      <c r="A5" s="3" t="s">
        <v>30</v>
      </c>
      <c r="B5" s="4">
        <f>B3*B4</f>
        <v>300000</v>
      </c>
      <c r="C5" s="4">
        <f>C3*C4</f>
        <v>175000</v>
      </c>
      <c r="D5" s="4">
        <f>D3*D4</f>
        <v>120000</v>
      </c>
      <c r="E5" s="4">
        <f>SUM(B5:D5)</f>
        <v>595000</v>
      </c>
      <c r="F5" s="4"/>
      <c r="G5" s="4"/>
      <c r="H5" s="6"/>
      <c r="I5" s="4"/>
      <c r="J5" s="7"/>
      <c r="K5" s="4"/>
      <c r="L5" s="7"/>
      <c r="M5" s="5"/>
    </row>
    <row r="6" spans="1:13" x14ac:dyDescent="0.2">
      <c r="A6" s="3" t="s">
        <v>60</v>
      </c>
      <c r="B6" s="6">
        <v>-4</v>
      </c>
      <c r="C6" s="6">
        <v>-3.5</v>
      </c>
      <c r="D6" s="6">
        <v>-5.5</v>
      </c>
      <c r="E6" s="4"/>
      <c r="F6" s="4"/>
      <c r="G6" s="4"/>
      <c r="H6" s="6"/>
      <c r="I6" s="4"/>
      <c r="J6" s="7"/>
      <c r="K6" s="4"/>
      <c r="L6" s="7"/>
      <c r="M6" s="5"/>
    </row>
    <row r="7" spans="1:13" x14ac:dyDescent="0.2">
      <c r="A7" s="3" t="s">
        <v>61</v>
      </c>
      <c r="B7" s="6">
        <v>-0.2</v>
      </c>
      <c r="C7" s="6">
        <v>-0.25</v>
      </c>
      <c r="D7" s="6">
        <v>-0.15</v>
      </c>
      <c r="E7" s="6"/>
      <c r="F7" s="4"/>
      <c r="G7" s="4"/>
      <c r="H7" s="6"/>
      <c r="I7" s="4"/>
      <c r="J7" s="7"/>
      <c r="K7" s="4"/>
      <c r="L7" s="7"/>
      <c r="M7" s="5"/>
    </row>
    <row r="8" spans="1:13" x14ac:dyDescent="0.2">
      <c r="A8" s="3" t="s">
        <v>8</v>
      </c>
      <c r="B8" s="6">
        <f>-20000/B3</f>
        <v>-0.66666666666666663</v>
      </c>
      <c r="C8" s="6">
        <f>-8500/C3</f>
        <v>-0.34</v>
      </c>
      <c r="D8" s="6">
        <f>-6000/D3</f>
        <v>-0.6</v>
      </c>
      <c r="E8" s="4"/>
      <c r="L8" s="7"/>
      <c r="M8" s="5"/>
    </row>
    <row r="9" spans="1:13" x14ac:dyDescent="0.2">
      <c r="A9" s="3" t="s">
        <v>62</v>
      </c>
      <c r="B9" s="6">
        <f>-B4*24%</f>
        <v>-2.4</v>
      </c>
      <c r="C9" s="6">
        <f t="shared" ref="C9:D9" si="0">-C4*24%</f>
        <v>-1.68</v>
      </c>
      <c r="D9" s="6">
        <f t="shared" si="0"/>
        <v>-2.88</v>
      </c>
      <c r="E9" s="4"/>
    </row>
    <row r="10" spans="1:13" x14ac:dyDescent="0.2">
      <c r="A10" s="3" t="s">
        <v>63</v>
      </c>
      <c r="B10" s="6">
        <f>-B4*2%</f>
        <v>-0.2</v>
      </c>
      <c r="C10" s="6">
        <f t="shared" ref="C10:D10" si="1">-C4*2%</f>
        <v>-0.14000000000000001</v>
      </c>
      <c r="D10" s="6">
        <f t="shared" si="1"/>
        <v>-0.24</v>
      </c>
      <c r="E10" s="4"/>
    </row>
    <row r="11" spans="1:13" x14ac:dyDescent="0.2">
      <c r="A11" s="3" t="s">
        <v>78</v>
      </c>
      <c r="B11" s="6">
        <f>B4+B6+B7+B8+B9+B10</f>
        <v>2.5333333333333328</v>
      </c>
      <c r="C11" s="6">
        <f t="shared" ref="C11:D11" si="2">C4+C6+C7+C8+C9+C10</f>
        <v>1.0900000000000003</v>
      </c>
      <c r="D11" s="6">
        <f t="shared" si="2"/>
        <v>2.63</v>
      </c>
      <c r="E11" s="4"/>
    </row>
    <row r="12" spans="1:13" x14ac:dyDescent="0.2">
      <c r="A12" s="3" t="s">
        <v>79</v>
      </c>
      <c r="B12" s="4">
        <f>B11*B3</f>
        <v>75999.999999999985</v>
      </c>
      <c r="C12" s="4">
        <f t="shared" ref="C12:D12" si="3">C11*C3</f>
        <v>27250.000000000007</v>
      </c>
      <c r="D12" s="4">
        <f t="shared" si="3"/>
        <v>26300</v>
      </c>
      <c r="E12" s="4">
        <f>SUM(B12:D12)</f>
        <v>129550</v>
      </c>
    </row>
    <row r="13" spans="1:13" x14ac:dyDescent="0.2">
      <c r="A13" s="3" t="s">
        <v>31</v>
      </c>
      <c r="B13" s="20">
        <f>B11/B4</f>
        <v>0.2533333333333333</v>
      </c>
      <c r="C13" s="20">
        <f t="shared" ref="C13:D13" si="4">C11/C4</f>
        <v>0.15571428571428575</v>
      </c>
      <c r="D13" s="20">
        <f t="shared" si="4"/>
        <v>0.21916666666666665</v>
      </c>
      <c r="E13" s="20">
        <f>E12/E5</f>
        <v>0.21773109243697478</v>
      </c>
    </row>
    <row r="14" spans="1:13" x14ac:dyDescent="0.2">
      <c r="B14" s="7"/>
    </row>
    <row r="15" spans="1:13" x14ac:dyDescent="0.2">
      <c r="A15" s="3" t="s">
        <v>64</v>
      </c>
      <c r="E15" s="4">
        <v>-100000</v>
      </c>
    </row>
    <row r="16" spans="1:13" x14ac:dyDescent="0.2">
      <c r="B16" s="4"/>
    </row>
    <row r="17" spans="1:5" x14ac:dyDescent="0.2">
      <c r="A17" s="3" t="s">
        <v>65</v>
      </c>
      <c r="E17" s="7">
        <f>E12+E15</f>
        <v>29550</v>
      </c>
    </row>
    <row r="19" spans="1:5" x14ac:dyDescent="0.2">
      <c r="A19" s="3" t="s">
        <v>39</v>
      </c>
      <c r="E19" s="4">
        <f>-E15/E13</f>
        <v>459282.13045156311</v>
      </c>
    </row>
    <row r="22" spans="1:5" x14ac:dyDescent="0.2">
      <c r="A22" s="33" t="s">
        <v>100</v>
      </c>
    </row>
    <row r="23" spans="1:5" x14ac:dyDescent="0.2">
      <c r="A23" s="33" t="s">
        <v>101</v>
      </c>
    </row>
    <row r="25" spans="1:5" x14ac:dyDescent="0.2">
      <c r="A25" s="24" t="s">
        <v>102</v>
      </c>
    </row>
    <row r="26" spans="1:5" x14ac:dyDescent="0.2">
      <c r="A26" s="33" t="s">
        <v>103</v>
      </c>
    </row>
    <row r="27" spans="1:5" x14ac:dyDescent="0.2">
      <c r="A27" s="24" t="s">
        <v>104</v>
      </c>
    </row>
    <row r="29" spans="1:5" s="35" customFormat="1" x14ac:dyDescent="0.2">
      <c r="A29" s="34" t="s">
        <v>105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F19" sqref="F19"/>
    </sheetView>
  </sheetViews>
  <sheetFormatPr defaultRowHeight="12.75" x14ac:dyDescent="0.2"/>
  <cols>
    <col min="1" max="1" width="17" style="3" customWidth="1"/>
    <col min="2" max="5" width="10.28515625" style="3" bestFit="1" customWidth="1"/>
    <col min="6" max="16384" width="9.140625" style="3"/>
  </cols>
  <sheetData>
    <row r="2" spans="1:5" x14ac:dyDescent="0.2">
      <c r="A2" s="3" t="s">
        <v>3</v>
      </c>
      <c r="B2" s="3" t="s">
        <v>4</v>
      </c>
      <c r="C2" s="3" t="s">
        <v>5</v>
      </c>
      <c r="D2" s="3" t="s">
        <v>6</v>
      </c>
      <c r="E2" s="3" t="s">
        <v>19</v>
      </c>
    </row>
    <row r="3" spans="1:5" x14ac:dyDescent="0.2">
      <c r="A3" s="3" t="s">
        <v>80</v>
      </c>
      <c r="B3" s="6">
        <v>2</v>
      </c>
      <c r="C3" s="6">
        <v>2.2999999999999998</v>
      </c>
      <c r="D3" s="6">
        <v>4</v>
      </c>
      <c r="E3" s="4"/>
    </row>
    <row r="4" spans="1:5" x14ac:dyDescent="0.2">
      <c r="A4" s="3" t="s">
        <v>81</v>
      </c>
      <c r="B4" s="4">
        <v>20000</v>
      </c>
      <c r="C4" s="4">
        <v>15000</v>
      </c>
      <c r="D4" s="4">
        <v>5000</v>
      </c>
      <c r="E4" s="4"/>
    </row>
    <row r="5" spans="1:5" x14ac:dyDescent="0.2">
      <c r="A5" s="3" t="s">
        <v>82</v>
      </c>
      <c r="B5" s="6">
        <v>10</v>
      </c>
      <c r="C5" s="6">
        <v>8</v>
      </c>
      <c r="D5" s="6">
        <v>12</v>
      </c>
      <c r="E5" s="4"/>
    </row>
    <row r="6" spans="1:5" x14ac:dyDescent="0.2">
      <c r="A6" s="3" t="s">
        <v>73</v>
      </c>
      <c r="B6" s="4">
        <f>B3*B4</f>
        <v>40000</v>
      </c>
      <c r="C6" s="4">
        <f t="shared" ref="C6:D6" si="0">C3*C4</f>
        <v>34500</v>
      </c>
      <c r="D6" s="4">
        <f t="shared" si="0"/>
        <v>20000</v>
      </c>
      <c r="E6" s="4">
        <f>SUM(B6:D6)</f>
        <v>94500</v>
      </c>
    </row>
    <row r="7" spans="1:5" x14ac:dyDescent="0.2">
      <c r="A7" s="3" t="s">
        <v>30</v>
      </c>
      <c r="B7" s="4">
        <f>B4*B5</f>
        <v>200000</v>
      </c>
      <c r="C7" s="4">
        <f t="shared" ref="C7:D7" si="1">C4*C5</f>
        <v>120000</v>
      </c>
      <c r="D7" s="4">
        <f t="shared" si="1"/>
        <v>60000</v>
      </c>
      <c r="E7" s="4">
        <f>SUM(B7:D7)</f>
        <v>380000</v>
      </c>
    </row>
    <row r="8" spans="1:5" x14ac:dyDescent="0.2">
      <c r="A8" s="3" t="s">
        <v>83</v>
      </c>
      <c r="B8" s="5">
        <f>B6/B7</f>
        <v>0.2</v>
      </c>
      <c r="C8" s="5">
        <f t="shared" ref="C8:E8" si="2">C6/C7</f>
        <v>0.28749999999999998</v>
      </c>
      <c r="D8" s="5">
        <f t="shared" si="2"/>
        <v>0.33333333333333331</v>
      </c>
      <c r="E8" s="5">
        <f t="shared" si="2"/>
        <v>0.24868421052631579</v>
      </c>
    </row>
    <row r="9" spans="1:5" x14ac:dyDescent="0.2">
      <c r="B9" s="4"/>
      <c r="C9" s="4"/>
      <c r="D9" s="4"/>
      <c r="E9" s="4"/>
    </row>
    <row r="10" spans="1:5" x14ac:dyDescent="0.2">
      <c r="A10" s="3" t="s">
        <v>84</v>
      </c>
      <c r="B10" s="4"/>
      <c r="C10" s="4"/>
      <c r="D10" s="4"/>
      <c r="E10" s="4">
        <v>70000</v>
      </c>
    </row>
    <row r="11" spans="1:5" x14ac:dyDescent="0.2">
      <c r="A11" s="3" t="s">
        <v>39</v>
      </c>
      <c r="B11" s="4"/>
      <c r="C11" s="4"/>
      <c r="D11" s="4"/>
      <c r="E11" s="4">
        <f>E10/E8</f>
        <v>281481.48148148146</v>
      </c>
    </row>
    <row r="13" spans="1:5" x14ac:dyDescent="0.2">
      <c r="A13" s="3" t="s">
        <v>85</v>
      </c>
      <c r="E13" s="21">
        <f>E6-E10</f>
        <v>24500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G28"/>
  <sheetViews>
    <sheetView workbookViewId="0">
      <selection activeCell="F27" sqref="F27"/>
    </sheetView>
  </sheetViews>
  <sheetFormatPr defaultRowHeight="12.75" x14ac:dyDescent="0.2"/>
  <cols>
    <col min="1" max="1" width="16.7109375" customWidth="1"/>
    <col min="2" max="2" width="12.85546875" bestFit="1" customWidth="1"/>
    <col min="6" max="7" width="11.28515625" bestFit="1" customWidth="1"/>
    <col min="8" max="8" width="10.5703125" customWidth="1"/>
  </cols>
  <sheetData>
    <row r="2" spans="1:9" x14ac:dyDescent="0.2">
      <c r="A2" t="s">
        <v>12</v>
      </c>
      <c r="B2" t="s">
        <v>2</v>
      </c>
      <c r="C2" t="s">
        <v>13</v>
      </c>
      <c r="D2" t="s">
        <v>14</v>
      </c>
      <c r="E2" t="s">
        <v>15</v>
      </c>
      <c r="F2" t="s">
        <v>0</v>
      </c>
      <c r="G2" t="s">
        <v>16</v>
      </c>
      <c r="H2" t="s">
        <v>9</v>
      </c>
      <c r="I2" t="s">
        <v>17</v>
      </c>
    </row>
    <row r="4" spans="1:9" x14ac:dyDescent="0.2">
      <c r="A4" t="s">
        <v>22</v>
      </c>
      <c r="B4">
        <v>150</v>
      </c>
      <c r="C4">
        <v>90</v>
      </c>
      <c r="D4" s="9">
        <f>B4*10%</f>
        <v>15</v>
      </c>
      <c r="E4" s="10">
        <f>B4-C4-D4</f>
        <v>45</v>
      </c>
      <c r="F4" s="1">
        <v>1000</v>
      </c>
      <c r="G4" s="12">
        <f>E4*F4</f>
        <v>45000</v>
      </c>
      <c r="H4" s="1">
        <f>B4*F4</f>
        <v>150000</v>
      </c>
      <c r="I4" s="2">
        <f>G4/H4</f>
        <v>0.3</v>
      </c>
    </row>
    <row r="5" spans="1:9" x14ac:dyDescent="0.2">
      <c r="A5" t="s">
        <v>23</v>
      </c>
      <c r="B5">
        <v>80</v>
      </c>
      <c r="C5">
        <v>35</v>
      </c>
      <c r="D5" s="9">
        <f>B5*12%</f>
        <v>9.6</v>
      </c>
      <c r="E5" s="10">
        <f>B5-C5-D5</f>
        <v>35.4</v>
      </c>
      <c r="F5" s="1">
        <v>300</v>
      </c>
      <c r="G5" s="1">
        <f>E5*F5</f>
        <v>10620</v>
      </c>
      <c r="H5" s="1">
        <f>B5*F5</f>
        <v>24000</v>
      </c>
      <c r="I5" s="2">
        <f>G5/H5</f>
        <v>0.4425</v>
      </c>
    </row>
    <row r="6" spans="1:9" x14ac:dyDescent="0.2">
      <c r="A6" t="s">
        <v>24</v>
      </c>
      <c r="B6">
        <v>100</v>
      </c>
      <c r="C6">
        <v>50</v>
      </c>
      <c r="D6" s="9">
        <f>B6*10%</f>
        <v>10</v>
      </c>
      <c r="E6" s="10">
        <f>B6-C6-D6</f>
        <v>40</v>
      </c>
      <c r="F6" s="1">
        <v>3000</v>
      </c>
      <c r="G6" s="1">
        <f>E6*F6</f>
        <v>120000</v>
      </c>
      <c r="H6" s="1">
        <f>B6*F6</f>
        <v>300000</v>
      </c>
      <c r="I6" s="2">
        <f>G6/H6</f>
        <v>0.4</v>
      </c>
    </row>
    <row r="7" spans="1:9" x14ac:dyDescent="0.2">
      <c r="A7" t="s">
        <v>10</v>
      </c>
      <c r="F7" s="1"/>
      <c r="G7" s="1">
        <f>SUM(G4:G6)</f>
        <v>175620</v>
      </c>
      <c r="H7" s="1">
        <f>SUM(H4:H6)</f>
        <v>474000</v>
      </c>
      <c r="I7" s="2">
        <f>G7/H7</f>
        <v>0.37050632911392406</v>
      </c>
    </row>
    <row r="9" spans="1:9" x14ac:dyDescent="0.2">
      <c r="A9" t="s">
        <v>18</v>
      </c>
      <c r="B9" s="1">
        <v>100000</v>
      </c>
    </row>
    <row r="10" spans="1:9" x14ac:dyDescent="0.2">
      <c r="B10" s="1"/>
    </row>
    <row r="11" spans="1:9" x14ac:dyDescent="0.2">
      <c r="A11" t="s">
        <v>1</v>
      </c>
      <c r="B11" s="12">
        <f>G7-B9</f>
        <v>75620</v>
      </c>
    </row>
    <row r="12" spans="1:9" x14ac:dyDescent="0.2">
      <c r="B12" s="1"/>
    </row>
    <row r="13" spans="1:9" x14ac:dyDescent="0.2">
      <c r="B13" s="1"/>
    </row>
    <row r="14" spans="1:9" x14ac:dyDescent="0.2">
      <c r="A14" t="s">
        <v>12</v>
      </c>
      <c r="B14" t="s">
        <v>2</v>
      </c>
      <c r="C14" t="s">
        <v>13</v>
      </c>
      <c r="D14" t="s">
        <v>14</v>
      </c>
      <c r="E14" t="s">
        <v>15</v>
      </c>
      <c r="F14" t="s">
        <v>0</v>
      </c>
      <c r="G14" t="s">
        <v>16</v>
      </c>
      <c r="H14" t="s">
        <v>9</v>
      </c>
      <c r="I14" t="s">
        <v>17</v>
      </c>
    </row>
    <row r="16" spans="1:9" x14ac:dyDescent="0.2">
      <c r="A16" t="s">
        <v>22</v>
      </c>
      <c r="B16">
        <v>120</v>
      </c>
      <c r="C16">
        <v>90</v>
      </c>
      <c r="D16" s="9">
        <f>B16*10%</f>
        <v>12</v>
      </c>
      <c r="E16" s="10">
        <f>B16-C16-D16</f>
        <v>18</v>
      </c>
      <c r="F16" s="1">
        <v>2000</v>
      </c>
      <c r="G16" s="12">
        <f>E16*F16</f>
        <v>36000</v>
      </c>
      <c r="H16" s="1">
        <f>B16*F16</f>
        <v>240000</v>
      </c>
      <c r="I16" s="2">
        <f>G16/H16</f>
        <v>0.15</v>
      </c>
    </row>
    <row r="17" spans="1:33" x14ac:dyDescent="0.2">
      <c r="A17" t="s">
        <v>23</v>
      </c>
      <c r="B17">
        <v>80</v>
      </c>
      <c r="C17">
        <v>35</v>
      </c>
      <c r="D17" s="9">
        <f>B17*12%</f>
        <v>9.6</v>
      </c>
      <c r="E17" s="10">
        <f>B17-C17-D17</f>
        <v>35.4</v>
      </c>
      <c r="F17" s="1">
        <v>300</v>
      </c>
      <c r="G17" s="1">
        <f>E17*F17</f>
        <v>10620</v>
      </c>
      <c r="H17" s="1">
        <f>B17*F17</f>
        <v>24000</v>
      </c>
      <c r="I17" s="2">
        <f>G17/H17</f>
        <v>0.4425</v>
      </c>
    </row>
    <row r="18" spans="1:33" x14ac:dyDescent="0.2">
      <c r="A18" t="s">
        <v>24</v>
      </c>
      <c r="B18">
        <v>100</v>
      </c>
      <c r="C18">
        <v>50</v>
      </c>
      <c r="D18" s="9">
        <f>B18*10%</f>
        <v>10</v>
      </c>
      <c r="E18" s="10">
        <f>B18-C18-D18</f>
        <v>40</v>
      </c>
      <c r="F18" s="1">
        <v>3000</v>
      </c>
      <c r="G18" s="1">
        <f>E18*F18</f>
        <v>120000</v>
      </c>
      <c r="H18" s="1">
        <f>B18*F18</f>
        <v>300000</v>
      </c>
      <c r="I18" s="2">
        <f>G18/H18</f>
        <v>0.4</v>
      </c>
    </row>
    <row r="19" spans="1:33" x14ac:dyDescent="0.2">
      <c r="A19" t="s">
        <v>10</v>
      </c>
      <c r="F19" s="1"/>
      <c r="G19" s="1">
        <f>SUM(G16:G18)</f>
        <v>166620</v>
      </c>
      <c r="H19" s="1">
        <f>SUM(H16:H18)</f>
        <v>564000</v>
      </c>
      <c r="I19" s="2">
        <f>G19/H19</f>
        <v>0.29542553191489362</v>
      </c>
    </row>
    <row r="21" spans="1:33" x14ac:dyDescent="0.2">
      <c r="A21" t="s">
        <v>18</v>
      </c>
      <c r="B21" s="1">
        <v>100000</v>
      </c>
    </row>
    <row r="22" spans="1:33" x14ac:dyDescent="0.2">
      <c r="B22" s="1"/>
    </row>
    <row r="23" spans="1:33" x14ac:dyDescent="0.2">
      <c r="A23" t="s">
        <v>1</v>
      </c>
      <c r="B23" s="12">
        <f>G19-B21</f>
        <v>66620</v>
      </c>
    </row>
    <row r="24" spans="1:33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x14ac:dyDescent="0.2">
      <c r="A26" s="8" t="s">
        <v>25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">
      <c r="A27" s="8" t="s">
        <v>26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x14ac:dyDescent="0.2">
      <c r="A28" s="8" t="s">
        <v>27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"/>
  <sheetViews>
    <sheetView workbookViewId="0">
      <selection sqref="A1:XFD1048576"/>
    </sheetView>
  </sheetViews>
  <sheetFormatPr defaultRowHeight="12.75" x14ac:dyDescent="0.2"/>
  <cols>
    <col min="1" max="1" width="32.5703125" style="14" bestFit="1" customWidth="1"/>
    <col min="2" max="2" width="15.140625" style="14" customWidth="1"/>
    <col min="3" max="4" width="12.28515625" style="14" customWidth="1"/>
    <col min="5" max="5" width="13" style="14" customWidth="1"/>
    <col min="6" max="6" width="17.140625" style="14" customWidth="1"/>
    <col min="7" max="7" width="12.42578125" style="14" customWidth="1"/>
    <col min="8" max="16384" width="9.140625" style="14"/>
  </cols>
  <sheetData>
    <row r="1" spans="1:7" x14ac:dyDescent="0.2">
      <c r="A1" s="14" t="s">
        <v>40</v>
      </c>
      <c r="B1" s="14" t="s">
        <v>58</v>
      </c>
      <c r="C1" s="14" t="s">
        <v>55</v>
      </c>
      <c r="D1" s="14" t="s">
        <v>56</v>
      </c>
      <c r="E1" s="14" t="s">
        <v>57</v>
      </c>
      <c r="F1" s="14" t="s">
        <v>19</v>
      </c>
    </row>
    <row r="2" spans="1:7" x14ac:dyDescent="0.2">
      <c r="A2" s="14" t="s">
        <v>93</v>
      </c>
      <c r="B2" s="19">
        <f>B3*B4</f>
        <v>1500000</v>
      </c>
      <c r="C2" s="19">
        <f>C3*C4</f>
        <v>375000</v>
      </c>
      <c r="D2" s="19">
        <f>D3*D4</f>
        <v>756000</v>
      </c>
      <c r="E2" s="19">
        <f>E3*E4</f>
        <v>510000</v>
      </c>
      <c r="F2" s="15">
        <f>SUM(B2:E2)</f>
        <v>3141000</v>
      </c>
    </row>
    <row r="3" spans="1:7" x14ac:dyDescent="0.2">
      <c r="A3" s="14" t="s">
        <v>41</v>
      </c>
      <c r="B3" s="15">
        <v>300000</v>
      </c>
      <c r="C3" s="15">
        <v>150000</v>
      </c>
      <c r="D3" s="15">
        <v>180000</v>
      </c>
      <c r="E3" s="15">
        <v>85000</v>
      </c>
    </row>
    <row r="4" spans="1:7" x14ac:dyDescent="0.2">
      <c r="A4" s="14" t="s">
        <v>42</v>
      </c>
      <c r="B4" s="17">
        <v>5</v>
      </c>
      <c r="C4" s="17">
        <v>2.5</v>
      </c>
      <c r="D4" s="17">
        <v>4.2</v>
      </c>
      <c r="E4" s="17">
        <v>6</v>
      </c>
      <c r="F4" s="15"/>
    </row>
    <row r="5" spans="1:7" x14ac:dyDescent="0.2">
      <c r="A5" s="14" t="s">
        <v>43</v>
      </c>
      <c r="B5" s="17">
        <v>-1.8</v>
      </c>
      <c r="C5" s="17">
        <v>-1.2</v>
      </c>
      <c r="D5" s="17">
        <v>-1.3</v>
      </c>
      <c r="E5" s="17">
        <v>-2.8</v>
      </c>
      <c r="F5" s="15"/>
    </row>
    <row r="6" spans="1:7" x14ac:dyDescent="0.2">
      <c r="A6" s="14" t="s">
        <v>44</v>
      </c>
      <c r="B6" s="17">
        <v>-0.2</v>
      </c>
      <c r="C6" s="17">
        <v>-0.05</v>
      </c>
      <c r="D6" s="17">
        <v>-0.1</v>
      </c>
      <c r="E6" s="17">
        <v>-0.15</v>
      </c>
    </row>
    <row r="7" spans="1:7" x14ac:dyDescent="0.2">
      <c r="A7" s="14" t="s">
        <v>45</v>
      </c>
      <c r="B7" s="17">
        <v>-0.1</v>
      </c>
      <c r="C7" s="17">
        <v>-0.05</v>
      </c>
      <c r="D7" s="17">
        <v>-0.08</v>
      </c>
      <c r="E7" s="17">
        <v>-0.2</v>
      </c>
    </row>
    <row r="8" spans="1:7" x14ac:dyDescent="0.2">
      <c r="A8" s="14" t="s">
        <v>54</v>
      </c>
      <c r="B8" s="16">
        <v>0.12</v>
      </c>
      <c r="C8" s="16">
        <v>0.12</v>
      </c>
      <c r="D8" s="16">
        <v>0.18</v>
      </c>
      <c r="E8" s="16">
        <v>0.18</v>
      </c>
      <c r="G8" s="14" t="s">
        <v>94</v>
      </c>
    </row>
    <row r="9" spans="1:7" x14ac:dyDescent="0.2">
      <c r="A9" s="14" t="s">
        <v>20</v>
      </c>
      <c r="B9" s="17">
        <f>-B4*B8</f>
        <v>-0.6</v>
      </c>
      <c r="C9" s="17">
        <f>-C4*C8</f>
        <v>-0.3</v>
      </c>
      <c r="D9" s="17">
        <f>-D4*D8</f>
        <v>-0.75600000000000001</v>
      </c>
      <c r="E9" s="17">
        <f>-E4*E8</f>
        <v>-1.08</v>
      </c>
    </row>
    <row r="10" spans="1:7" x14ac:dyDescent="0.2">
      <c r="A10" s="14" t="s">
        <v>66</v>
      </c>
      <c r="B10" s="16">
        <v>0.18</v>
      </c>
      <c r="C10" s="16">
        <v>0.18</v>
      </c>
      <c r="D10" s="16">
        <v>0.18</v>
      </c>
      <c r="E10" s="16">
        <v>0.18</v>
      </c>
      <c r="G10" s="14" t="s">
        <v>94</v>
      </c>
    </row>
    <row r="11" spans="1:7" x14ac:dyDescent="0.2">
      <c r="A11" s="14" t="s">
        <v>21</v>
      </c>
      <c r="B11" s="17">
        <f>-B5*B10</f>
        <v>0.32400000000000001</v>
      </c>
      <c r="C11" s="17">
        <f t="shared" ref="C11:E11" si="0">-C5*C10</f>
        <v>0.216</v>
      </c>
      <c r="D11" s="17">
        <f t="shared" si="0"/>
        <v>0.23399999999999999</v>
      </c>
      <c r="E11" s="17">
        <f t="shared" si="0"/>
        <v>0.504</v>
      </c>
    </row>
    <row r="12" spans="1:7" x14ac:dyDescent="0.2">
      <c r="A12" s="14" t="s">
        <v>46</v>
      </c>
      <c r="B12" s="17">
        <f>-B4*0.65%</f>
        <v>-3.2500000000000001E-2</v>
      </c>
      <c r="C12" s="17">
        <f>-C4*0.65%</f>
        <v>-1.6250000000000001E-2</v>
      </c>
      <c r="D12" s="17">
        <f>-D4*0.65%</f>
        <v>-2.7300000000000005E-2</v>
      </c>
      <c r="E12" s="17">
        <f>-E4*0.65%</f>
        <v>-3.9000000000000007E-2</v>
      </c>
    </row>
    <row r="13" spans="1:7" x14ac:dyDescent="0.2">
      <c r="A13" s="14" t="s">
        <v>38</v>
      </c>
      <c r="B13" s="17">
        <f>-B4*3%</f>
        <v>-0.15</v>
      </c>
      <c r="C13" s="17">
        <f t="shared" ref="C13:E13" si="1">-C4*3%</f>
        <v>-7.4999999999999997E-2</v>
      </c>
      <c r="D13" s="17">
        <f t="shared" si="1"/>
        <v>-0.126</v>
      </c>
      <c r="E13" s="17">
        <f t="shared" si="1"/>
        <v>-0.18</v>
      </c>
    </row>
    <row r="14" spans="1:7" x14ac:dyDescent="0.2">
      <c r="A14" s="14" t="s">
        <v>47</v>
      </c>
      <c r="B14" s="17">
        <f>-B4*1.2%</f>
        <v>-0.06</v>
      </c>
      <c r="C14" s="17">
        <f>-C4*1.2%</f>
        <v>-0.03</v>
      </c>
      <c r="D14" s="17">
        <f>-D4*1.2%</f>
        <v>-5.04E-2</v>
      </c>
      <c r="E14" s="17">
        <f>-E4*1.2%</f>
        <v>-7.2000000000000008E-2</v>
      </c>
    </row>
    <row r="15" spans="1:7" x14ac:dyDescent="0.2">
      <c r="A15" s="14" t="s">
        <v>48</v>
      </c>
      <c r="B15" s="18">
        <f>-B4*1.08%</f>
        <v>-5.4000000000000006E-2</v>
      </c>
      <c r="C15" s="18">
        <f>-C4*1.08%</f>
        <v>-2.7000000000000003E-2</v>
      </c>
      <c r="D15" s="18">
        <f>-D4*1.08%</f>
        <v>-4.5360000000000004E-2</v>
      </c>
      <c r="E15" s="18">
        <f>-E4*1.08%</f>
        <v>-6.4799999999999996E-2</v>
      </c>
    </row>
    <row r="16" spans="1:7" x14ac:dyDescent="0.2">
      <c r="A16" s="14" t="s">
        <v>49</v>
      </c>
      <c r="B16" s="17">
        <f>SUM(B4:B15)-B8-B10</f>
        <v>2.3274999999999997</v>
      </c>
      <c r="C16" s="17">
        <f>SUM(C4:C15)-C8-C10</f>
        <v>0.96774999999999989</v>
      </c>
      <c r="D16" s="17">
        <f>SUM(D4:D15)-D8-D10</f>
        <v>1.9489400000000001</v>
      </c>
      <c r="E16" s="17">
        <f>SUM(E4:E15)-E8-E10</f>
        <v>1.9181999999999999</v>
      </c>
    </row>
    <row r="17" spans="1:6" s="25" customFormat="1" x14ac:dyDescent="0.2">
      <c r="A17" s="25" t="s">
        <v>50</v>
      </c>
      <c r="B17" s="26">
        <f>B16*B3</f>
        <v>698249.99999999988</v>
      </c>
      <c r="C17" s="26">
        <f>C16*C3</f>
        <v>145162.49999999997</v>
      </c>
      <c r="D17" s="26">
        <f>D16*D3</f>
        <v>350809.2</v>
      </c>
      <c r="E17" s="26">
        <f>E16*E3</f>
        <v>163047</v>
      </c>
      <c r="F17" s="26">
        <f>SUM(B17:E17)</f>
        <v>1357268.7</v>
      </c>
    </row>
    <row r="18" spans="1:6" s="25" customFormat="1" x14ac:dyDescent="0.2">
      <c r="A18" s="25" t="s">
        <v>31</v>
      </c>
      <c r="B18" s="27">
        <f>B16/B4</f>
        <v>0.46549999999999991</v>
      </c>
      <c r="C18" s="27">
        <f>C16/C4</f>
        <v>0.38709999999999994</v>
      </c>
      <c r="D18" s="27">
        <f>D16/D4</f>
        <v>0.46403333333333335</v>
      </c>
      <c r="E18" s="27">
        <f>E16/E4</f>
        <v>0.31969999999999998</v>
      </c>
      <c r="F18" s="27">
        <f>F17/F2</f>
        <v>0.43211356255969435</v>
      </c>
    </row>
    <row r="19" spans="1:6" s="25" customFormat="1" x14ac:dyDescent="0.2"/>
    <row r="20" spans="1:6" s="25" customFormat="1" x14ac:dyDescent="0.2">
      <c r="A20" s="25" t="s">
        <v>76</v>
      </c>
      <c r="F20" s="28">
        <v>-1200000</v>
      </c>
    </row>
    <row r="21" spans="1:6" s="25" customFormat="1" x14ac:dyDescent="0.2">
      <c r="F21" s="28"/>
    </row>
    <row r="22" spans="1:6" s="25" customFormat="1" x14ac:dyDescent="0.2">
      <c r="A22" s="25" t="s">
        <v>51</v>
      </c>
      <c r="F22" s="29">
        <f>F17+F20</f>
        <v>157268.69999999995</v>
      </c>
    </row>
    <row r="23" spans="1:6" s="25" customFormat="1" x14ac:dyDescent="0.2"/>
    <row r="24" spans="1:6" s="25" customFormat="1" x14ac:dyDescent="0.2">
      <c r="A24" s="25" t="s">
        <v>39</v>
      </c>
      <c r="F24" s="26">
        <f>-F20/F18</f>
        <v>2777047.757750547</v>
      </c>
    </row>
    <row r="25" spans="1:6" s="25" customFormat="1" x14ac:dyDescent="0.2"/>
    <row r="26" spans="1:6" s="25" customFormat="1" x14ac:dyDescent="0.2">
      <c r="A26" s="25" t="s">
        <v>52</v>
      </c>
      <c r="B26" s="26"/>
      <c r="F26" s="26">
        <v>2000000</v>
      </c>
    </row>
    <row r="27" spans="1:6" s="25" customFormat="1" x14ac:dyDescent="0.2">
      <c r="A27" s="25" t="s">
        <v>53</v>
      </c>
      <c r="B27" s="30"/>
      <c r="F27" s="27">
        <f>F22/F26</f>
        <v>7.8634349999999978E-2</v>
      </c>
    </row>
    <row r="28" spans="1:6" s="25" customFormat="1" x14ac:dyDescent="0.2">
      <c r="A28" s="25" t="s">
        <v>77</v>
      </c>
      <c r="B28" s="27"/>
      <c r="F28" s="27">
        <f>F22/F2</f>
        <v>5.006962750716331E-2</v>
      </c>
    </row>
    <row r="31" spans="1:6" x14ac:dyDescent="0.2">
      <c r="B31" s="19"/>
    </row>
    <row r="32" spans="1:6" x14ac:dyDescent="0.2">
      <c r="B32" s="19"/>
    </row>
    <row r="33" spans="2:2" x14ac:dyDescent="0.2">
      <c r="B33" s="19"/>
    </row>
    <row r="34" spans="2:2" x14ac:dyDescent="0.2">
      <c r="B34" s="19"/>
    </row>
  </sheetData>
  <phoneticPr fontId="3" type="noConversion"/>
  <pageMargins left="0.78740157499999996" right="0.78740157499999996" top="0.984251969" bottom="0.984251969" header="0.49212598499999999" footer="0.49212598499999999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topLeftCell="A2" workbookViewId="0">
      <selection activeCell="I18" sqref="I18"/>
    </sheetView>
  </sheetViews>
  <sheetFormatPr defaultRowHeight="12.75" x14ac:dyDescent="0.2"/>
  <cols>
    <col min="1" max="1" width="32.5703125" style="14" bestFit="1" customWidth="1"/>
    <col min="2" max="2" width="15.140625" style="14" customWidth="1"/>
    <col min="3" max="4" width="12.28515625" style="14" customWidth="1"/>
    <col min="5" max="5" width="13" style="14" customWidth="1"/>
    <col min="6" max="6" width="17.140625" style="14" customWidth="1"/>
    <col min="7" max="7" width="12.42578125" style="14" customWidth="1"/>
    <col min="8" max="16384" width="9.140625" style="14"/>
  </cols>
  <sheetData>
    <row r="1" spans="1:7" x14ac:dyDescent="0.2">
      <c r="A1" s="14" t="s">
        <v>40</v>
      </c>
      <c r="B1" s="14" t="s">
        <v>58</v>
      </c>
      <c r="C1" s="14" t="s">
        <v>55</v>
      </c>
      <c r="D1" s="14" t="s">
        <v>56</v>
      </c>
      <c r="E1" s="14" t="s">
        <v>57</v>
      </c>
      <c r="F1" s="14" t="s">
        <v>19</v>
      </c>
    </row>
    <row r="2" spans="1:7" x14ac:dyDescent="0.2">
      <c r="A2" s="14" t="s">
        <v>93</v>
      </c>
      <c r="B2" s="19">
        <f>B3*B4</f>
        <v>1500000</v>
      </c>
      <c r="C2" s="19">
        <f>C3*C4</f>
        <v>375000</v>
      </c>
      <c r="D2" s="19">
        <f>D3*D4</f>
        <v>756000</v>
      </c>
      <c r="E2" s="19">
        <f>E3*E4</f>
        <v>510000</v>
      </c>
      <c r="F2" s="15">
        <f>SUM(B2:E2)</f>
        <v>3141000</v>
      </c>
    </row>
    <row r="3" spans="1:7" x14ac:dyDescent="0.2">
      <c r="A3" s="14" t="s">
        <v>41</v>
      </c>
      <c r="B3" s="15">
        <v>300000</v>
      </c>
      <c r="C3" s="15">
        <v>150000</v>
      </c>
      <c r="D3" s="15">
        <v>180000</v>
      </c>
      <c r="E3" s="15">
        <v>85000</v>
      </c>
    </row>
    <row r="4" spans="1:7" x14ac:dyDescent="0.2">
      <c r="A4" s="14" t="s">
        <v>42</v>
      </c>
      <c r="B4" s="17">
        <v>5</v>
      </c>
      <c r="C4" s="17">
        <v>2.5</v>
      </c>
      <c r="D4" s="17">
        <v>4.2</v>
      </c>
      <c r="E4" s="17">
        <v>6</v>
      </c>
      <c r="F4" s="15"/>
    </row>
    <row r="5" spans="1:7" x14ac:dyDescent="0.2">
      <c r="A5" s="14" t="s">
        <v>43</v>
      </c>
      <c r="B5" s="17">
        <v>-1.8</v>
      </c>
      <c r="C5" s="17">
        <v>-1.2</v>
      </c>
      <c r="D5" s="17">
        <v>-1.3</v>
      </c>
      <c r="E5" s="17">
        <v>-2.8</v>
      </c>
      <c r="F5" s="15"/>
    </row>
    <row r="6" spans="1:7" x14ac:dyDescent="0.2">
      <c r="A6" s="14" t="s">
        <v>44</v>
      </c>
      <c r="B6" s="17">
        <v>-0.2</v>
      </c>
      <c r="C6" s="17">
        <v>-0.05</v>
      </c>
      <c r="D6" s="17">
        <v>-0.1</v>
      </c>
      <c r="E6" s="17">
        <v>-0.15</v>
      </c>
    </row>
    <row r="7" spans="1:7" x14ac:dyDescent="0.2">
      <c r="A7" s="14" t="s">
        <v>45</v>
      </c>
      <c r="B7" s="17">
        <v>-0.1</v>
      </c>
      <c r="C7" s="17">
        <v>-0.05</v>
      </c>
      <c r="D7" s="17">
        <v>-0.08</v>
      </c>
      <c r="E7" s="17">
        <v>-0.2</v>
      </c>
    </row>
    <row r="8" spans="1:7" x14ac:dyDescent="0.2">
      <c r="A8" s="31" t="s">
        <v>54</v>
      </c>
      <c r="B8" s="32">
        <v>0.12</v>
      </c>
      <c r="C8" s="32">
        <v>0.12</v>
      </c>
      <c r="D8" s="32">
        <v>0.18</v>
      </c>
      <c r="E8" s="32">
        <v>0.18</v>
      </c>
      <c r="G8" s="14" t="s">
        <v>94</v>
      </c>
    </row>
    <row r="9" spans="1:7" x14ac:dyDescent="0.2">
      <c r="A9" s="14" t="s">
        <v>20</v>
      </c>
      <c r="B9" s="17">
        <f>-B4*B8</f>
        <v>-0.6</v>
      </c>
      <c r="C9" s="17">
        <f>-C4*C8</f>
        <v>-0.3</v>
      </c>
      <c r="D9" s="17">
        <f>-D4*D8</f>
        <v>-0.75600000000000001</v>
      </c>
      <c r="E9" s="17">
        <f>-E4*E8</f>
        <v>-1.08</v>
      </c>
    </row>
    <row r="10" spans="1:7" x14ac:dyDescent="0.2">
      <c r="A10" s="31" t="s">
        <v>66</v>
      </c>
      <c r="B10" s="32">
        <v>0.18</v>
      </c>
      <c r="C10" s="32">
        <v>0.18</v>
      </c>
      <c r="D10" s="32">
        <v>0.18</v>
      </c>
      <c r="E10" s="32">
        <v>0.18</v>
      </c>
      <c r="G10" s="14" t="s">
        <v>94</v>
      </c>
    </row>
    <row r="11" spans="1:7" x14ac:dyDescent="0.2">
      <c r="A11" s="14" t="s">
        <v>21</v>
      </c>
      <c r="B11" s="17">
        <f>-B5*B10</f>
        <v>0.32400000000000001</v>
      </c>
      <c r="C11" s="17">
        <f t="shared" ref="C11:E11" si="0">-C5*C10</f>
        <v>0.216</v>
      </c>
      <c r="D11" s="17">
        <f t="shared" si="0"/>
        <v>0.23399999999999999</v>
      </c>
      <c r="E11" s="17">
        <f t="shared" si="0"/>
        <v>0.504</v>
      </c>
    </row>
    <row r="12" spans="1:7" x14ac:dyDescent="0.2">
      <c r="A12" s="14" t="s">
        <v>46</v>
      </c>
      <c r="B12" s="17">
        <f>-B4*1.65%</f>
        <v>-8.2500000000000004E-2</v>
      </c>
      <c r="C12" s="17">
        <f t="shared" ref="C12:E12" si="1">-C4*1.65%</f>
        <v>-4.1250000000000002E-2</v>
      </c>
      <c r="D12" s="17">
        <f t="shared" si="1"/>
        <v>-6.93E-2</v>
      </c>
      <c r="E12" s="17">
        <f t="shared" si="1"/>
        <v>-9.9000000000000005E-2</v>
      </c>
    </row>
    <row r="13" spans="1:7" x14ac:dyDescent="0.2">
      <c r="A13" s="14" t="s">
        <v>95</v>
      </c>
      <c r="B13" s="17">
        <f>-B5*1.65%</f>
        <v>2.9700000000000001E-2</v>
      </c>
      <c r="C13" s="17">
        <f t="shared" ref="C13:E13" si="2">-C5*1.65%</f>
        <v>1.9800000000000002E-2</v>
      </c>
      <c r="D13" s="17">
        <f t="shared" si="2"/>
        <v>2.145E-2</v>
      </c>
      <c r="E13" s="17">
        <f t="shared" si="2"/>
        <v>4.6199999999999998E-2</v>
      </c>
    </row>
    <row r="14" spans="1:7" x14ac:dyDescent="0.2">
      <c r="A14" s="14" t="s">
        <v>38</v>
      </c>
      <c r="B14" s="17">
        <f>-B4*7.6%</f>
        <v>-0.38</v>
      </c>
      <c r="C14" s="17">
        <f t="shared" ref="C14:E14" si="3">-C4*7.6%</f>
        <v>-0.19</v>
      </c>
      <c r="D14" s="17">
        <f t="shared" si="3"/>
        <v>-0.31919999999999998</v>
      </c>
      <c r="E14" s="17">
        <f t="shared" si="3"/>
        <v>-0.45599999999999996</v>
      </c>
    </row>
    <row r="15" spans="1:7" x14ac:dyDescent="0.2">
      <c r="A15" s="14" t="s">
        <v>96</v>
      </c>
      <c r="B15" s="17">
        <f>-B5*7.6%</f>
        <v>0.1368</v>
      </c>
      <c r="C15" s="17">
        <f t="shared" ref="C15:E15" si="4">-C5*7.6%</f>
        <v>9.1199999999999989E-2</v>
      </c>
      <c r="D15" s="17">
        <f t="shared" si="4"/>
        <v>9.8799999999999999E-2</v>
      </c>
      <c r="E15" s="17">
        <f t="shared" si="4"/>
        <v>0.21279999999999999</v>
      </c>
    </row>
    <row r="16" spans="1:7" x14ac:dyDescent="0.2">
      <c r="A16" s="14" t="s">
        <v>49</v>
      </c>
      <c r="B16" s="17">
        <f>SUM(B4:B15)-B8-B10</f>
        <v>2.3279999999999998</v>
      </c>
      <c r="C16" s="17">
        <f>SUM(C4:C15)-C8-C10</f>
        <v>0.99574999999999991</v>
      </c>
      <c r="D16" s="17">
        <f>SUM(D4:D15)-D8-D10</f>
        <v>1.9297500000000005</v>
      </c>
      <c r="E16" s="17">
        <f>SUM(E4:E15)-E8-E10</f>
        <v>1.978</v>
      </c>
    </row>
    <row r="17" spans="1:6" s="25" customFormat="1" x14ac:dyDescent="0.2">
      <c r="A17" s="25" t="s">
        <v>50</v>
      </c>
      <c r="B17" s="26">
        <f>B16*B3</f>
        <v>698400</v>
      </c>
      <c r="C17" s="26">
        <f>C16*C3</f>
        <v>149362.5</v>
      </c>
      <c r="D17" s="26">
        <f>D16*D3</f>
        <v>347355.00000000012</v>
      </c>
      <c r="E17" s="26">
        <f>E16*E3</f>
        <v>168130</v>
      </c>
      <c r="F17" s="26">
        <f>SUM(B17:E17)</f>
        <v>1363247.5</v>
      </c>
    </row>
    <row r="18" spans="1:6" s="25" customFormat="1" x14ac:dyDescent="0.2">
      <c r="A18" s="25" t="s">
        <v>31</v>
      </c>
      <c r="B18" s="27">
        <f>B16/B4</f>
        <v>0.46559999999999996</v>
      </c>
      <c r="C18" s="27">
        <f>C16/C4</f>
        <v>0.39829999999999999</v>
      </c>
      <c r="D18" s="27">
        <f>D16/D4</f>
        <v>0.45946428571428582</v>
      </c>
      <c r="E18" s="27">
        <f>E16/E4</f>
        <v>0.32966666666666666</v>
      </c>
      <c r="F18" s="27">
        <f>F17/F2</f>
        <v>0.43401703279210441</v>
      </c>
    </row>
    <row r="19" spans="1:6" s="25" customFormat="1" x14ac:dyDescent="0.2"/>
    <row r="20" spans="1:6" s="25" customFormat="1" x14ac:dyDescent="0.2">
      <c r="A20" s="25" t="s">
        <v>76</v>
      </c>
      <c r="F20" s="28">
        <v>-1200000</v>
      </c>
    </row>
    <row r="21" spans="1:6" s="25" customFormat="1" x14ac:dyDescent="0.2">
      <c r="F21" s="28"/>
    </row>
    <row r="22" spans="1:6" s="25" customFormat="1" x14ac:dyDescent="0.2">
      <c r="A22" s="25" t="s">
        <v>97</v>
      </c>
      <c r="F22" s="29">
        <f>F17+F20</f>
        <v>163247.5</v>
      </c>
    </row>
    <row r="23" spans="1:6" s="25" customFormat="1" x14ac:dyDescent="0.2">
      <c r="A23" s="25" t="s">
        <v>98</v>
      </c>
      <c r="F23" s="29">
        <f>-F22*34%</f>
        <v>-55504.15</v>
      </c>
    </row>
    <row r="24" spans="1:6" s="25" customFormat="1" x14ac:dyDescent="0.2">
      <c r="A24" s="25" t="s">
        <v>99</v>
      </c>
      <c r="F24" s="29">
        <f>F22+F23</f>
        <v>107743.35</v>
      </c>
    </row>
    <row r="25" spans="1:6" s="25" customFormat="1" x14ac:dyDescent="0.2"/>
    <row r="26" spans="1:6" s="25" customFormat="1" x14ac:dyDescent="0.2">
      <c r="A26" s="25" t="s">
        <v>39</v>
      </c>
      <c r="F26" s="26">
        <f>-F20/F18</f>
        <v>2764868.448319179</v>
      </c>
    </row>
    <row r="27" spans="1:6" s="25" customFormat="1" x14ac:dyDescent="0.2"/>
    <row r="28" spans="1:6" s="25" customFormat="1" x14ac:dyDescent="0.2">
      <c r="A28" s="25" t="s">
        <v>52</v>
      </c>
      <c r="B28" s="26"/>
      <c r="F28" s="26">
        <v>2000000</v>
      </c>
    </row>
    <row r="29" spans="1:6" s="25" customFormat="1" x14ac:dyDescent="0.2">
      <c r="A29" s="25" t="s">
        <v>53</v>
      </c>
      <c r="B29" s="30"/>
      <c r="F29" s="27">
        <f>F24/F28</f>
        <v>5.3871675000000001E-2</v>
      </c>
    </row>
    <row r="30" spans="1:6" s="25" customFormat="1" x14ac:dyDescent="0.2">
      <c r="A30" s="25" t="s">
        <v>77</v>
      </c>
      <c r="B30" s="27"/>
      <c r="F30" s="27">
        <f>F24/F2</f>
        <v>3.4302244508118439E-2</v>
      </c>
    </row>
    <row r="33" spans="2:2" x14ac:dyDescent="0.2">
      <c r="B33" s="19"/>
    </row>
    <row r="34" spans="2:2" x14ac:dyDescent="0.2">
      <c r="B34" s="19"/>
    </row>
    <row r="35" spans="2:2" x14ac:dyDescent="0.2">
      <c r="B35" s="19"/>
    </row>
    <row r="36" spans="2:2" x14ac:dyDescent="0.2">
      <c r="B36" s="19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workbookViewId="0">
      <selection activeCell="F22" sqref="F22"/>
    </sheetView>
  </sheetViews>
  <sheetFormatPr defaultRowHeight="12.75" x14ac:dyDescent="0.2"/>
  <cols>
    <col min="1" max="1" width="18.85546875" customWidth="1"/>
    <col min="2" max="2" width="13.28515625" style="3" customWidth="1"/>
    <col min="3" max="3" width="15.85546875" style="3" customWidth="1"/>
  </cols>
  <sheetData>
    <row r="3" spans="1:3" x14ac:dyDescent="0.2">
      <c r="B3" s="3" t="s">
        <v>67</v>
      </c>
      <c r="C3" s="3" t="s">
        <v>68</v>
      </c>
    </row>
    <row r="5" spans="1:3" x14ac:dyDescent="0.2">
      <c r="A5" t="s">
        <v>2</v>
      </c>
      <c r="B5" s="3">
        <v>100</v>
      </c>
      <c r="C5" s="3">
        <v>50</v>
      </c>
    </row>
    <row r="6" spans="1:3" x14ac:dyDescent="0.2">
      <c r="A6" t="s">
        <v>69</v>
      </c>
      <c r="B6" s="6">
        <v>-33.33</v>
      </c>
      <c r="C6" s="6">
        <v>-33.33</v>
      </c>
    </row>
    <row r="7" spans="1:3" x14ac:dyDescent="0.2">
      <c r="A7" t="s">
        <v>14</v>
      </c>
      <c r="B7" s="6">
        <f>-B5*25%</f>
        <v>-25</v>
      </c>
      <c r="C7" s="6">
        <f>-C5*25%</f>
        <v>-12.5</v>
      </c>
    </row>
    <row r="8" spans="1:3" x14ac:dyDescent="0.2">
      <c r="A8" t="s">
        <v>70</v>
      </c>
      <c r="B8" s="3">
        <f>SUM(B5:B7)</f>
        <v>41.67</v>
      </c>
      <c r="C8" s="3">
        <f>SUM(C5:C7)</f>
        <v>4.1700000000000017</v>
      </c>
    </row>
    <row r="9" spans="1:3" x14ac:dyDescent="0.2">
      <c r="A9" t="s">
        <v>71</v>
      </c>
      <c r="B9" s="20">
        <f>B8/B5</f>
        <v>0.41670000000000001</v>
      </c>
      <c r="C9" s="20">
        <f>C8/C5</f>
        <v>8.340000000000003E-2</v>
      </c>
    </row>
    <row r="11" spans="1:3" x14ac:dyDescent="0.2">
      <c r="A11" t="s">
        <v>59</v>
      </c>
      <c r="B11" s="3">
        <v>200</v>
      </c>
      <c r="C11" s="3" t="s">
        <v>72</v>
      </c>
    </row>
    <row r="12" spans="1:3" x14ac:dyDescent="0.2">
      <c r="A12" t="s">
        <v>73</v>
      </c>
      <c r="B12" s="4">
        <f>B8*B11</f>
        <v>8334</v>
      </c>
    </row>
    <row r="14" spans="1:3" x14ac:dyDescent="0.2">
      <c r="A14" t="s">
        <v>75</v>
      </c>
    </row>
    <row r="15" spans="1:3" x14ac:dyDescent="0.2">
      <c r="A15" t="s">
        <v>74</v>
      </c>
    </row>
    <row r="19" spans="2:2" x14ac:dyDescent="0.2">
      <c r="B19" s="7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B31" sqref="B31"/>
    </sheetView>
  </sheetViews>
  <sheetFormatPr defaultRowHeight="12.75" x14ac:dyDescent="0.2"/>
  <cols>
    <col min="1" max="1" width="28.5703125" style="3" customWidth="1"/>
    <col min="2" max="16384" width="9.140625" style="3"/>
  </cols>
  <sheetData>
    <row r="3" spans="1:3" x14ac:dyDescent="0.2">
      <c r="B3" s="22" t="s">
        <v>86</v>
      </c>
      <c r="C3" s="22" t="s">
        <v>87</v>
      </c>
    </row>
    <row r="4" spans="1:3" x14ac:dyDescent="0.2">
      <c r="A4" s="22" t="s">
        <v>2</v>
      </c>
      <c r="B4" s="4">
        <v>500</v>
      </c>
      <c r="C4" s="4">
        <f>B4*80%</f>
        <v>400</v>
      </c>
    </row>
    <row r="5" spans="1:3" x14ac:dyDescent="0.2">
      <c r="A5" s="22" t="s">
        <v>88</v>
      </c>
      <c r="B5" s="4">
        <v>-300</v>
      </c>
      <c r="C5" s="4">
        <v>-300</v>
      </c>
    </row>
    <row r="6" spans="1:3" x14ac:dyDescent="0.2">
      <c r="A6" s="22" t="s">
        <v>89</v>
      </c>
      <c r="B6" s="4">
        <f>-B4*15%</f>
        <v>-75</v>
      </c>
      <c r="C6" s="4">
        <f>-C4*15%</f>
        <v>-60</v>
      </c>
    </row>
    <row r="7" spans="1:3" x14ac:dyDescent="0.2">
      <c r="A7" s="22" t="s">
        <v>70</v>
      </c>
      <c r="B7" s="4">
        <f>SUM(B4:B6)</f>
        <v>125</v>
      </c>
      <c r="C7" s="4">
        <f>SUM(C4:C6)</f>
        <v>40</v>
      </c>
    </row>
    <row r="8" spans="1:3" x14ac:dyDescent="0.2">
      <c r="A8" s="22" t="s">
        <v>81</v>
      </c>
      <c r="B8" s="4">
        <v>3000</v>
      </c>
      <c r="C8" s="23" t="s">
        <v>72</v>
      </c>
    </row>
    <row r="9" spans="1:3" x14ac:dyDescent="0.2">
      <c r="A9" s="22" t="s">
        <v>73</v>
      </c>
      <c r="B9" s="4">
        <f>B8*B7</f>
        <v>375000</v>
      </c>
      <c r="C9" s="4"/>
    </row>
    <row r="10" spans="1:3" x14ac:dyDescent="0.2">
      <c r="B10" s="4"/>
      <c r="C10" s="4"/>
    </row>
    <row r="11" spans="1:3" x14ac:dyDescent="0.2">
      <c r="A11" s="22" t="s">
        <v>90</v>
      </c>
      <c r="B11" s="4"/>
      <c r="C11" s="4"/>
    </row>
    <row r="12" spans="1:3" x14ac:dyDescent="0.2">
      <c r="A12" s="22" t="s">
        <v>91</v>
      </c>
      <c r="B12" s="4">
        <f>B9/C7</f>
        <v>9375</v>
      </c>
      <c r="C12" s="23" t="s">
        <v>92</v>
      </c>
    </row>
    <row r="13" spans="1:3" x14ac:dyDescent="0.2">
      <c r="B13" s="4"/>
      <c r="C13" s="4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H27" sqref="H27"/>
    </sheetView>
  </sheetViews>
  <sheetFormatPr defaultRowHeight="12.75" x14ac:dyDescent="0.2"/>
  <cols>
    <col min="1" max="1" width="12.7109375" customWidth="1"/>
    <col min="2" max="2" width="11.28515625" bestFit="1" customWidth="1"/>
    <col min="3" max="5" width="10.42578125" bestFit="1" customWidth="1"/>
    <col min="6" max="6" width="10.28515625" bestFit="1" customWidth="1"/>
    <col min="7" max="7" width="11.28515625" bestFit="1" customWidth="1"/>
  </cols>
  <sheetData>
    <row r="3" spans="1:8" x14ac:dyDescent="0.2">
      <c r="A3" t="s">
        <v>3</v>
      </c>
      <c r="B3" t="s">
        <v>4</v>
      </c>
      <c r="C3" t="s">
        <v>5</v>
      </c>
      <c r="D3" t="s">
        <v>6</v>
      </c>
      <c r="E3" t="s">
        <v>28</v>
      </c>
      <c r="F3" t="s">
        <v>29</v>
      </c>
      <c r="G3" t="s">
        <v>19</v>
      </c>
    </row>
    <row r="5" spans="1:8" x14ac:dyDescent="0.2">
      <c r="A5" t="s">
        <v>11</v>
      </c>
      <c r="B5" s="1">
        <v>20000</v>
      </c>
      <c r="C5" s="1">
        <v>30400</v>
      </c>
      <c r="D5" s="1">
        <v>32900</v>
      </c>
      <c r="E5" s="1">
        <v>11200</v>
      </c>
      <c r="F5" s="1">
        <v>500</v>
      </c>
      <c r="G5" s="1">
        <f>SUM(B5:F5)</f>
        <v>95000</v>
      </c>
    </row>
    <row r="7" spans="1:8" x14ac:dyDescent="0.2">
      <c r="A7" t="s">
        <v>30</v>
      </c>
      <c r="B7" s="1">
        <v>100000</v>
      </c>
      <c r="C7" s="1">
        <v>88000</v>
      </c>
      <c r="D7" s="1">
        <v>80500</v>
      </c>
      <c r="E7" s="1">
        <v>42000</v>
      </c>
      <c r="F7" s="1">
        <v>22500</v>
      </c>
      <c r="G7" s="1">
        <f>SUM(B7:F7)</f>
        <v>333000</v>
      </c>
    </row>
    <row r="9" spans="1:8" x14ac:dyDescent="0.2">
      <c r="A9" s="11" t="s">
        <v>31</v>
      </c>
      <c r="B9" s="13">
        <f t="shared" ref="B9:G9" si="0">B5/B7</f>
        <v>0.2</v>
      </c>
      <c r="C9" s="13">
        <f t="shared" si="0"/>
        <v>0.34545454545454546</v>
      </c>
      <c r="D9" s="13">
        <f t="shared" si="0"/>
        <v>0.40869565217391307</v>
      </c>
      <c r="E9" s="13">
        <f t="shared" si="0"/>
        <v>0.26666666666666666</v>
      </c>
      <c r="F9" s="13">
        <f t="shared" si="0"/>
        <v>2.2222222222222223E-2</v>
      </c>
      <c r="G9" s="13">
        <f t="shared" si="0"/>
        <v>0.28528528528528529</v>
      </c>
      <c r="H9" s="11"/>
    </row>
    <row r="12" spans="1:8" x14ac:dyDescent="0.2">
      <c r="A12" t="s">
        <v>32</v>
      </c>
    </row>
    <row r="13" spans="1:8" x14ac:dyDescent="0.2">
      <c r="A13" t="s">
        <v>33</v>
      </c>
    </row>
    <row r="15" spans="1:8" x14ac:dyDescent="0.2">
      <c r="A15" t="s">
        <v>34</v>
      </c>
    </row>
    <row r="16" spans="1:8" x14ac:dyDescent="0.2">
      <c r="A16" t="s">
        <v>35</v>
      </c>
    </row>
    <row r="17" spans="1:1" x14ac:dyDescent="0.2">
      <c r="A17" t="s">
        <v>36</v>
      </c>
    </row>
    <row r="20" spans="1:1" x14ac:dyDescent="0.2">
      <c r="A20" t="s">
        <v>37</v>
      </c>
    </row>
  </sheetData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exercício 2</vt:lpstr>
      <vt:lpstr>exercício 3</vt:lpstr>
      <vt:lpstr>exercício 4</vt:lpstr>
      <vt:lpstr>exercício 5 presumido</vt:lpstr>
      <vt:lpstr>exercício 5 Real</vt:lpstr>
      <vt:lpstr>exercício 6</vt:lpstr>
      <vt:lpstr>9</vt:lpstr>
      <vt:lpstr>exercício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Roberto</cp:lastModifiedBy>
  <dcterms:created xsi:type="dcterms:W3CDTF">1997-01-10T22:22:50Z</dcterms:created>
  <dcterms:modified xsi:type="dcterms:W3CDTF">2014-08-07T17:20:31Z</dcterms:modified>
</cp:coreProperties>
</file>