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985" yWindow="-15" windowWidth="5970" windowHeight="6870" tabRatio="797" activeTab="4"/>
  </bookViews>
  <sheets>
    <sheet name="A" sheetId="12" r:id="rId1"/>
    <sheet name="B" sheetId="11" r:id="rId2"/>
    <sheet name="C" sheetId="10" r:id="rId3"/>
    <sheet name="D" sheetId="9" r:id="rId4"/>
    <sheet name="E" sheetId="19" r:id="rId5"/>
    <sheet name="margens" sheetId="20" r:id="rId6"/>
    <sheet name="Custos Fixos" sheetId="15" r:id="rId7"/>
    <sheet name="resultados" sheetId="21" r:id="rId8"/>
    <sheet name="índices" sheetId="22" r:id="rId9"/>
  </sheets>
  <externalReferences>
    <externalReference r:id="rId10"/>
  </externalReferences>
  <calcPr calcId="145621"/>
</workbook>
</file>

<file path=xl/calcChain.xml><?xml version="1.0" encoding="utf-8"?>
<calcChain xmlns="http://schemas.openxmlformats.org/spreadsheetml/2006/main">
  <c r="B29" i="22" l="1"/>
  <c r="B28" i="22"/>
  <c r="B27" i="22"/>
  <c r="D23" i="22"/>
  <c r="D22" i="22"/>
  <c r="D21" i="22"/>
  <c r="D20" i="22"/>
  <c r="C13" i="22"/>
  <c r="D13" i="22" s="1"/>
  <c r="C12" i="22"/>
  <c r="D12" i="22" s="1"/>
  <c r="B5" i="22"/>
  <c r="M11" i="21"/>
  <c r="J11" i="21"/>
  <c r="I11" i="21"/>
  <c r="F11" i="21"/>
  <c r="E11" i="21"/>
  <c r="B11" i="21"/>
  <c r="B12" i="21" s="1"/>
  <c r="M9" i="21"/>
  <c r="L9" i="21"/>
  <c r="K9" i="21"/>
  <c r="J9" i="21"/>
  <c r="I9" i="21"/>
  <c r="H9" i="21"/>
  <c r="G9" i="21"/>
  <c r="F9" i="21"/>
  <c r="E9" i="21"/>
  <c r="D9" i="21"/>
  <c r="C9" i="21"/>
  <c r="B9" i="21"/>
  <c r="N9" i="21" s="1"/>
  <c r="M7" i="21"/>
  <c r="L7" i="21"/>
  <c r="K7" i="21"/>
  <c r="J7" i="21"/>
  <c r="I7" i="21"/>
  <c r="H7" i="21"/>
  <c r="G7" i="21"/>
  <c r="F7" i="21"/>
  <c r="E7" i="21"/>
  <c r="D7" i="21"/>
  <c r="C7" i="21"/>
  <c r="B7" i="21"/>
  <c r="M5" i="21"/>
  <c r="L5" i="21"/>
  <c r="L11" i="21" s="1"/>
  <c r="K5" i="21"/>
  <c r="K11" i="21" s="1"/>
  <c r="J5" i="21"/>
  <c r="I5" i="21"/>
  <c r="H5" i="21"/>
  <c r="H11" i="21" s="1"/>
  <c r="G5" i="21"/>
  <c r="G11" i="21" s="1"/>
  <c r="F5" i="21"/>
  <c r="E5" i="21"/>
  <c r="D5" i="21"/>
  <c r="D11" i="21" s="1"/>
  <c r="C5" i="21"/>
  <c r="C11" i="21" s="1"/>
  <c r="B5" i="21"/>
  <c r="N5" i="21" s="1"/>
  <c r="O33" i="15"/>
  <c r="J33" i="15" s="1"/>
  <c r="M33" i="15"/>
  <c r="L33" i="15"/>
  <c r="K33" i="15"/>
  <c r="I33" i="15"/>
  <c r="H33" i="15"/>
  <c r="G33" i="15"/>
  <c r="E33" i="15"/>
  <c r="D33" i="15"/>
  <c r="C33" i="15"/>
  <c r="O32" i="15"/>
  <c r="M32" i="15" s="1"/>
  <c r="M31" i="15" s="1"/>
  <c r="K32" i="15"/>
  <c r="K31" i="15" s="1"/>
  <c r="J32" i="15"/>
  <c r="J31" i="15" s="1"/>
  <c r="G32" i="15"/>
  <c r="G31" i="15" s="1"/>
  <c r="F32" i="15"/>
  <c r="C32" i="15"/>
  <c r="C31" i="15" s="1"/>
  <c r="B32" i="15"/>
  <c r="O23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N21" i="15" s="1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N19" i="15" s="1"/>
  <c r="M18" i="15"/>
  <c r="M23" i="15" s="1"/>
  <c r="L18" i="15"/>
  <c r="L23" i="15" s="1"/>
  <c r="K18" i="15"/>
  <c r="K23" i="15" s="1"/>
  <c r="J18" i="15"/>
  <c r="J23" i="15" s="1"/>
  <c r="I18" i="15"/>
  <c r="I23" i="15" s="1"/>
  <c r="H18" i="15"/>
  <c r="H23" i="15" s="1"/>
  <c r="G18" i="15"/>
  <c r="G23" i="15" s="1"/>
  <c r="F18" i="15"/>
  <c r="F23" i="15" s="1"/>
  <c r="E18" i="15"/>
  <c r="E23" i="15" s="1"/>
  <c r="D18" i="15"/>
  <c r="D23" i="15" s="1"/>
  <c r="C18" i="15"/>
  <c r="C23" i="15" s="1"/>
  <c r="B18" i="15"/>
  <c r="B23" i="15" s="1"/>
  <c r="O13" i="15"/>
  <c r="J13" i="15"/>
  <c r="F13" i="15"/>
  <c r="B13" i="15"/>
  <c r="M12" i="15"/>
  <c r="L12" i="15"/>
  <c r="K12" i="15"/>
  <c r="K13" i="15" s="1"/>
  <c r="J12" i="15"/>
  <c r="I12" i="15"/>
  <c r="H12" i="15"/>
  <c r="G12" i="15"/>
  <c r="G13" i="15" s="1"/>
  <c r="F12" i="15"/>
  <c r="E12" i="15"/>
  <c r="D12" i="15"/>
  <c r="C12" i="15"/>
  <c r="C13" i="15" s="1"/>
  <c r="B12" i="15"/>
  <c r="N12" i="15" s="1"/>
  <c r="M11" i="15"/>
  <c r="L11" i="15"/>
  <c r="K11" i="15"/>
  <c r="J11" i="15"/>
  <c r="I11" i="15"/>
  <c r="H11" i="15"/>
  <c r="G11" i="15"/>
  <c r="F11" i="15"/>
  <c r="E11" i="15"/>
  <c r="D11" i="15"/>
  <c r="C11" i="15"/>
  <c r="B11" i="15"/>
  <c r="N11" i="15" s="1"/>
  <c r="M10" i="15"/>
  <c r="M13" i="15" s="1"/>
  <c r="L10" i="15"/>
  <c r="L13" i="15" s="1"/>
  <c r="L15" i="15" s="1"/>
  <c r="L25" i="15" s="1"/>
  <c r="K10" i="15"/>
  <c r="J10" i="15"/>
  <c r="I10" i="15"/>
  <c r="I13" i="15" s="1"/>
  <c r="H10" i="15"/>
  <c r="H13" i="15" s="1"/>
  <c r="H15" i="15" s="1"/>
  <c r="H25" i="15" s="1"/>
  <c r="G10" i="15"/>
  <c r="F10" i="15"/>
  <c r="E10" i="15"/>
  <c r="E13" i="15" s="1"/>
  <c r="D10" i="15"/>
  <c r="D13" i="15" s="1"/>
  <c r="D15" i="15" s="1"/>
  <c r="D25" i="15" s="1"/>
  <c r="C10" i="15"/>
  <c r="B10" i="15"/>
  <c r="N10" i="15" s="1"/>
  <c r="O8" i="15"/>
  <c r="O15" i="15" s="1"/>
  <c r="O25" i="15" s="1"/>
  <c r="L8" i="15"/>
  <c r="H8" i="15"/>
  <c r="D8" i="15"/>
  <c r="O7" i="15"/>
  <c r="M7" i="15"/>
  <c r="L7" i="15"/>
  <c r="I7" i="15"/>
  <c r="H7" i="15"/>
  <c r="E7" i="15"/>
  <c r="D7" i="15"/>
  <c r="M6" i="15"/>
  <c r="M8" i="15" s="1"/>
  <c r="L6" i="15"/>
  <c r="K6" i="15"/>
  <c r="K7" i="15" s="1"/>
  <c r="K8" i="15" s="1"/>
  <c r="K15" i="15" s="1"/>
  <c r="K25" i="15" s="1"/>
  <c r="J6" i="15"/>
  <c r="I6" i="15"/>
  <c r="I8" i="15" s="1"/>
  <c r="H6" i="15"/>
  <c r="G6" i="15"/>
  <c r="G7" i="15" s="1"/>
  <c r="G8" i="15" s="1"/>
  <c r="G15" i="15" s="1"/>
  <c r="G25" i="15" s="1"/>
  <c r="F6" i="15"/>
  <c r="E6" i="15"/>
  <c r="E8" i="15" s="1"/>
  <c r="D6" i="15"/>
  <c r="C6" i="15"/>
  <c r="C7" i="15" s="1"/>
  <c r="C8" i="15" s="1"/>
  <c r="C15" i="15" s="1"/>
  <c r="C25" i="15" s="1"/>
  <c r="B6" i="15"/>
  <c r="M25" i="20"/>
  <c r="L25" i="20"/>
  <c r="L7" i="20" s="1"/>
  <c r="L14" i="20" s="1"/>
  <c r="K25" i="20"/>
  <c r="K9" i="20" s="1"/>
  <c r="K16" i="20" s="1"/>
  <c r="J25" i="20"/>
  <c r="J9" i="20" s="1"/>
  <c r="J16" i="20" s="1"/>
  <c r="I25" i="20"/>
  <c r="H25" i="20"/>
  <c r="H7" i="20" s="1"/>
  <c r="H14" i="20" s="1"/>
  <c r="G25" i="20"/>
  <c r="G9" i="20" s="1"/>
  <c r="G16" i="20" s="1"/>
  <c r="F25" i="20"/>
  <c r="F9" i="20" s="1"/>
  <c r="F16" i="20" s="1"/>
  <c r="E25" i="20"/>
  <c r="D25" i="20"/>
  <c r="D7" i="20" s="1"/>
  <c r="D14" i="20" s="1"/>
  <c r="C25" i="20"/>
  <c r="C9" i="20" s="1"/>
  <c r="C16" i="20" s="1"/>
  <c r="B25" i="20"/>
  <c r="N25" i="20" s="1"/>
  <c r="B23" i="20"/>
  <c r="B22" i="20"/>
  <c r="B21" i="20"/>
  <c r="B20" i="20"/>
  <c r="B19" i="20"/>
  <c r="M13" i="20"/>
  <c r="I13" i="20"/>
  <c r="E13" i="20"/>
  <c r="M9" i="20"/>
  <c r="M16" i="20" s="1"/>
  <c r="L9" i="20"/>
  <c r="L16" i="20" s="1"/>
  <c r="I9" i="20"/>
  <c r="I16" i="20" s="1"/>
  <c r="H9" i="20"/>
  <c r="H16" i="20" s="1"/>
  <c r="E9" i="20"/>
  <c r="E16" i="20" s="1"/>
  <c r="D9" i="20"/>
  <c r="D16" i="20" s="1"/>
  <c r="M8" i="20"/>
  <c r="M15" i="20" s="1"/>
  <c r="L8" i="20"/>
  <c r="L15" i="20" s="1"/>
  <c r="J8" i="20"/>
  <c r="J15" i="20" s="1"/>
  <c r="I8" i="20"/>
  <c r="I15" i="20" s="1"/>
  <c r="H8" i="20"/>
  <c r="H15" i="20" s="1"/>
  <c r="F8" i="20"/>
  <c r="F15" i="20" s="1"/>
  <c r="E8" i="20"/>
  <c r="E15" i="20" s="1"/>
  <c r="D8" i="20"/>
  <c r="D15" i="20" s="1"/>
  <c r="B8" i="20"/>
  <c r="B15" i="20" s="1"/>
  <c r="N15" i="20" s="1"/>
  <c r="M7" i="20"/>
  <c r="M14" i="20" s="1"/>
  <c r="J7" i="20"/>
  <c r="J14" i="20" s="1"/>
  <c r="I7" i="20"/>
  <c r="I14" i="20" s="1"/>
  <c r="F7" i="20"/>
  <c r="F14" i="20" s="1"/>
  <c r="E7" i="20"/>
  <c r="E14" i="20" s="1"/>
  <c r="B7" i="20"/>
  <c r="M6" i="20"/>
  <c r="L6" i="20"/>
  <c r="L13" i="20" s="1"/>
  <c r="K6" i="20"/>
  <c r="K13" i="20" s="1"/>
  <c r="J6" i="20"/>
  <c r="J13" i="20" s="1"/>
  <c r="I6" i="20"/>
  <c r="H6" i="20"/>
  <c r="H13" i="20" s="1"/>
  <c r="G6" i="20"/>
  <c r="G13" i="20" s="1"/>
  <c r="F6" i="20"/>
  <c r="F13" i="20" s="1"/>
  <c r="E6" i="20"/>
  <c r="D6" i="20"/>
  <c r="D13" i="20" s="1"/>
  <c r="C6" i="20"/>
  <c r="C13" i="20" s="1"/>
  <c r="B6" i="20"/>
  <c r="N6" i="20" s="1"/>
  <c r="M5" i="20"/>
  <c r="M12" i="20" s="1"/>
  <c r="M11" i="20" s="1"/>
  <c r="L5" i="20"/>
  <c r="L12" i="20" s="1"/>
  <c r="L11" i="20" s="1"/>
  <c r="I5" i="20"/>
  <c r="I12" i="20" s="1"/>
  <c r="I11" i="20" s="1"/>
  <c r="H5" i="20"/>
  <c r="H12" i="20" s="1"/>
  <c r="H11" i="20" s="1"/>
  <c r="E5" i="20"/>
  <c r="E12" i="20" s="1"/>
  <c r="E11" i="20" s="1"/>
  <c r="D5" i="20"/>
  <c r="D12" i="20" s="1"/>
  <c r="D11" i="20" s="1"/>
  <c r="B36" i="19"/>
  <c r="D17" i="19"/>
  <c r="C15" i="19"/>
  <c r="B15" i="19"/>
  <c r="B30" i="19" s="1"/>
  <c r="C14" i="19"/>
  <c r="B14" i="19"/>
  <c r="B23" i="19" s="1"/>
  <c r="D23" i="19" s="1"/>
  <c r="B11" i="19"/>
  <c r="D3" i="19"/>
  <c r="B36" i="9"/>
  <c r="B38" i="9" s="1"/>
  <c r="B23" i="9"/>
  <c r="D23" i="9" s="1"/>
  <c r="B21" i="9"/>
  <c r="D21" i="9" s="1"/>
  <c r="B19" i="9"/>
  <c r="D19" i="9" s="1"/>
  <c r="D17" i="9"/>
  <c r="C15" i="9"/>
  <c r="B15" i="9"/>
  <c r="B29" i="9" s="1"/>
  <c r="C14" i="9"/>
  <c r="B14" i="9"/>
  <c r="B16" i="9" s="1"/>
  <c r="D16" i="9" s="1"/>
  <c r="B11" i="9"/>
  <c r="B36" i="12"/>
  <c r="B38" i="12" s="1"/>
  <c r="B29" i="12"/>
  <c r="B18" i="12"/>
  <c r="D18" i="12" s="1"/>
  <c r="D17" i="12"/>
  <c r="C15" i="12"/>
  <c r="D15" i="12" s="1"/>
  <c r="B15" i="12"/>
  <c r="B30" i="12" s="1"/>
  <c r="C14" i="12"/>
  <c r="B14" i="12"/>
  <c r="B23" i="12" s="1"/>
  <c r="D23" i="12" s="1"/>
  <c r="B11" i="12"/>
  <c r="B36" i="11"/>
  <c r="B23" i="11"/>
  <c r="D23" i="11" s="1"/>
  <c r="B21" i="11"/>
  <c r="D21" i="11" s="1"/>
  <c r="B19" i="11"/>
  <c r="D19" i="11" s="1"/>
  <c r="D17" i="11"/>
  <c r="C15" i="11"/>
  <c r="B15" i="11"/>
  <c r="B29" i="11" s="1"/>
  <c r="C14" i="11"/>
  <c r="B14" i="11"/>
  <c r="B38" i="11" s="1"/>
  <c r="B11" i="11"/>
  <c r="B38" i="10"/>
  <c r="B36" i="10"/>
  <c r="B29" i="10"/>
  <c r="B23" i="10"/>
  <c r="D23" i="10" s="1"/>
  <c r="B21" i="10"/>
  <c r="D21" i="10" s="1"/>
  <c r="B19" i="10"/>
  <c r="D19" i="10" s="1"/>
  <c r="B16" i="10"/>
  <c r="D16" i="10" s="1"/>
  <c r="C15" i="10"/>
  <c r="B15" i="10"/>
  <c r="B18" i="10" s="1"/>
  <c r="D18" i="10" s="1"/>
  <c r="C14" i="10"/>
  <c r="B14" i="10"/>
  <c r="B28" i="10" s="1"/>
  <c r="B11" i="10"/>
  <c r="D17" i="10" s="1"/>
  <c r="C12" i="21" l="1"/>
  <c r="B14" i="21"/>
  <c r="N11" i="21"/>
  <c r="N7" i="21"/>
  <c r="B31" i="15"/>
  <c r="E15" i="15"/>
  <c r="E25" i="15" s="1"/>
  <c r="I15" i="15"/>
  <c r="I25" i="15" s="1"/>
  <c r="M15" i="15"/>
  <c r="M25" i="15" s="1"/>
  <c r="N13" i="15"/>
  <c r="J8" i="15"/>
  <c r="J15" i="15" s="1"/>
  <c r="J25" i="15" s="1"/>
  <c r="N6" i="15"/>
  <c r="N18" i="15"/>
  <c r="N23" i="15" s="1"/>
  <c r="B7" i="15"/>
  <c r="B8" i="15" s="1"/>
  <c r="B15" i="15" s="1"/>
  <c r="B25" i="15" s="1"/>
  <c r="J7" i="15"/>
  <c r="O31" i="15"/>
  <c r="D32" i="15"/>
  <c r="D31" i="15" s="1"/>
  <c r="H32" i="15"/>
  <c r="H31" i="15" s="1"/>
  <c r="L32" i="15"/>
  <c r="L31" i="15" s="1"/>
  <c r="B33" i="15"/>
  <c r="F33" i="15"/>
  <c r="F31" i="15" s="1"/>
  <c r="F7" i="15"/>
  <c r="F8" i="15" s="1"/>
  <c r="F15" i="15" s="1"/>
  <c r="F25" i="15" s="1"/>
  <c r="E32" i="15"/>
  <c r="E31" i="15" s="1"/>
  <c r="I32" i="15"/>
  <c r="I31" i="15" s="1"/>
  <c r="N7" i="20"/>
  <c r="C7" i="20"/>
  <c r="C14" i="20" s="1"/>
  <c r="G7" i="20"/>
  <c r="G14" i="20" s="1"/>
  <c r="K7" i="20"/>
  <c r="K14" i="20" s="1"/>
  <c r="B13" i="20"/>
  <c r="N13" i="20" s="1"/>
  <c r="D4" i="20"/>
  <c r="H4" i="20"/>
  <c r="L4" i="20"/>
  <c r="B5" i="20"/>
  <c r="F5" i="20"/>
  <c r="J5" i="20"/>
  <c r="C8" i="20"/>
  <c r="C15" i="20" s="1"/>
  <c r="G8" i="20"/>
  <c r="G15" i="20" s="1"/>
  <c r="K8" i="20"/>
  <c r="K15" i="20" s="1"/>
  <c r="B9" i="20"/>
  <c r="B14" i="20"/>
  <c r="N14" i="20" s="1"/>
  <c r="E4" i="20"/>
  <c r="I4" i="20"/>
  <c r="M4" i="20"/>
  <c r="C5" i="20"/>
  <c r="G5" i="20"/>
  <c r="K5" i="20"/>
  <c r="D15" i="19"/>
  <c r="B18" i="19"/>
  <c r="D18" i="19" s="1"/>
  <c r="B20" i="19"/>
  <c r="D20" i="19" s="1"/>
  <c r="B22" i="19"/>
  <c r="D22" i="19" s="1"/>
  <c r="B28" i="19"/>
  <c r="D14" i="19"/>
  <c r="B16" i="19"/>
  <c r="D16" i="19" s="1"/>
  <c r="B29" i="19"/>
  <c r="B37" i="19"/>
  <c r="B38" i="19" s="1"/>
  <c r="B19" i="19"/>
  <c r="D19" i="19" s="1"/>
  <c r="B21" i="19"/>
  <c r="D21" i="19" s="1"/>
  <c r="B40" i="9"/>
  <c r="B30" i="9"/>
  <c r="D15" i="9"/>
  <c r="B18" i="9"/>
  <c r="D18" i="9" s="1"/>
  <c r="B20" i="9"/>
  <c r="D20" i="9" s="1"/>
  <c r="B22" i="9"/>
  <c r="D22" i="9" s="1"/>
  <c r="B24" i="9"/>
  <c r="B25" i="9" s="1"/>
  <c r="B28" i="9"/>
  <c r="D14" i="9"/>
  <c r="B40" i="12"/>
  <c r="B20" i="12"/>
  <c r="D20" i="12" s="1"/>
  <c r="B22" i="12"/>
  <c r="D22" i="12" s="1"/>
  <c r="B28" i="12"/>
  <c r="B31" i="12" s="1"/>
  <c r="B43" i="12" s="1"/>
  <c r="D14" i="12"/>
  <c r="B16" i="12"/>
  <c r="D16" i="12" s="1"/>
  <c r="B19" i="12"/>
  <c r="D19" i="12" s="1"/>
  <c r="B21" i="12"/>
  <c r="D21" i="12" s="1"/>
  <c r="B40" i="11"/>
  <c r="D15" i="11"/>
  <c r="B18" i="11"/>
  <c r="D18" i="11" s="1"/>
  <c r="B20" i="11"/>
  <c r="D20" i="11" s="1"/>
  <c r="B22" i="11"/>
  <c r="D22" i="11" s="1"/>
  <c r="B28" i="11"/>
  <c r="B31" i="11" s="1"/>
  <c r="B43" i="11" s="1"/>
  <c r="B30" i="11"/>
  <c r="D14" i="11"/>
  <c r="B16" i="11"/>
  <c r="D16" i="11" s="1"/>
  <c r="B31" i="10"/>
  <c r="B43" i="10" s="1"/>
  <c r="D14" i="10"/>
  <c r="B30" i="10"/>
  <c r="B40" i="10"/>
  <c r="D15" i="10"/>
  <c r="B20" i="10"/>
  <c r="D20" i="10" s="1"/>
  <c r="B22" i="10"/>
  <c r="D22" i="10" s="1"/>
  <c r="B31" i="19" l="1"/>
  <c r="C14" i="21"/>
  <c r="C16" i="21" s="1"/>
  <c r="D12" i="21"/>
  <c r="B16" i="21"/>
  <c r="N16" i="21" s="1"/>
  <c r="N32" i="15"/>
  <c r="N33" i="15"/>
  <c r="N8" i="15"/>
  <c r="N15" i="15" s="1"/>
  <c r="N25" i="15" s="1"/>
  <c r="P25" i="15" s="1"/>
  <c r="N7" i="15"/>
  <c r="N31" i="15"/>
  <c r="P31" i="15" s="1"/>
  <c r="C12" i="20"/>
  <c r="C11" i="20" s="1"/>
  <c r="C4" i="20"/>
  <c r="N8" i="20"/>
  <c r="N9" i="20"/>
  <c r="B16" i="20"/>
  <c r="N16" i="20" s="1"/>
  <c r="J4" i="20"/>
  <c r="J12" i="20"/>
  <c r="J11" i="20" s="1"/>
  <c r="K12" i="20"/>
  <c r="K11" i="20" s="1"/>
  <c r="K4" i="20"/>
  <c r="F12" i="20"/>
  <c r="F11" i="20" s="1"/>
  <c r="F4" i="20"/>
  <c r="G12" i="20"/>
  <c r="G11" i="20" s="1"/>
  <c r="G4" i="20"/>
  <c r="N5" i="20"/>
  <c r="B12" i="20"/>
  <c r="B4" i="20"/>
  <c r="D24" i="19"/>
  <c r="B41" i="19"/>
  <c r="B40" i="19"/>
  <c r="B43" i="19"/>
  <c r="B24" i="19"/>
  <c r="B25" i="19" s="1"/>
  <c r="D24" i="9"/>
  <c r="B31" i="9"/>
  <c r="B43" i="9" s="1"/>
  <c r="B41" i="9"/>
  <c r="D24" i="12"/>
  <c r="B24" i="12"/>
  <c r="B25" i="12" s="1"/>
  <c r="B41" i="12"/>
  <c r="D24" i="11"/>
  <c r="B24" i="11"/>
  <c r="B25" i="11" s="1"/>
  <c r="B41" i="11"/>
  <c r="D24" i="10"/>
  <c r="B24" i="10"/>
  <c r="B25" i="10" s="1"/>
  <c r="B41" i="10"/>
  <c r="E12" i="21" l="1"/>
  <c r="D14" i="21"/>
  <c r="D16" i="21" s="1"/>
  <c r="N4" i="20"/>
  <c r="O4" i="20" s="1"/>
  <c r="B11" i="20"/>
  <c r="N12" i="20"/>
  <c r="N11" i="20" s="1"/>
  <c r="B42" i="19"/>
  <c r="D25" i="19"/>
  <c r="D11" i="19" s="1"/>
  <c r="B42" i="9"/>
  <c r="D25" i="9"/>
  <c r="D11" i="9" s="1"/>
  <c r="B42" i="12"/>
  <c r="D25" i="12"/>
  <c r="D11" i="12" s="1"/>
  <c r="B42" i="11"/>
  <c r="D25" i="11"/>
  <c r="D11" i="11" s="1"/>
  <c r="B42" i="10"/>
  <c r="D25" i="10"/>
  <c r="D11" i="10" s="1"/>
  <c r="F12" i="21" l="1"/>
  <c r="E14" i="21"/>
  <c r="B18" i="20"/>
  <c r="G12" i="21" l="1"/>
  <c r="F14" i="21"/>
  <c r="F16" i="21" s="1"/>
  <c r="E16" i="21"/>
  <c r="G14" i="21" l="1"/>
  <c r="H12" i="21"/>
  <c r="G16" i="21" l="1"/>
  <c r="I12" i="21"/>
  <c r="H14" i="21"/>
  <c r="H16" i="21" s="1"/>
  <c r="J12" i="21" l="1"/>
  <c r="I14" i="21"/>
  <c r="I16" i="21" s="1"/>
  <c r="K12" i="21" l="1"/>
  <c r="J14" i="21"/>
  <c r="J16" i="21" s="1"/>
  <c r="K14" i="21" l="1"/>
  <c r="K16" i="21" s="1"/>
  <c r="L12" i="21"/>
  <c r="M12" i="21" l="1"/>
  <c r="M14" i="21" s="1"/>
  <c r="L14" i="21"/>
  <c r="L16" i="21" s="1"/>
  <c r="M16" i="21" l="1"/>
  <c r="N14" i="21"/>
</calcChain>
</file>

<file path=xl/comments1.xml><?xml version="1.0" encoding="utf-8"?>
<comments xmlns="http://schemas.openxmlformats.org/spreadsheetml/2006/main">
  <authors>
    <author>.</author>
  </authors>
  <commentList>
    <comment ref="D3" authorId="0">
      <text>
        <r>
          <rPr>
            <b/>
            <sz val="8"/>
            <color indexed="81"/>
            <rFont val="Tahoma"/>
            <family val="2"/>
          </rPr>
          <t>ver fórmula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5" authorId="0">
      <text>
        <r>
          <rPr>
            <b/>
            <sz val="8"/>
            <color indexed="81"/>
            <rFont val="Tahoma"/>
            <family val="2"/>
          </rPr>
          <t>dado apenas para cálculo.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7" authorId="0">
      <text>
        <r>
          <rPr>
            <b/>
            <sz val="8"/>
            <color indexed="81"/>
            <rFont val="Tahoma"/>
            <family val="2"/>
          </rPr>
          <t>ver fórmula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8" authorId="0">
      <text>
        <r>
          <rPr>
            <b/>
            <sz val="8"/>
            <color indexed="81"/>
            <rFont val="Tahoma"/>
            <family val="2"/>
          </rPr>
          <t>ver fórmula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<sst xmlns="http://schemas.openxmlformats.org/spreadsheetml/2006/main" count="377" uniqueCount="134">
  <si>
    <t>ALÍQUOTAS</t>
  </si>
  <si>
    <t>COMISSÃO</t>
  </si>
  <si>
    <t>PIS</t>
  </si>
  <si>
    <t>COFINS</t>
  </si>
  <si>
    <t>P.VENDA</t>
  </si>
  <si>
    <t xml:space="preserve">DADOS </t>
  </si>
  <si>
    <t>% DEBITO ICMS</t>
  </si>
  <si>
    <t>% COMISSÃO</t>
  </si>
  <si>
    <t>% PIS</t>
  </si>
  <si>
    <t>% COFINS</t>
  </si>
  <si>
    <t>C.FINANCEIRO MENSAL</t>
  </si>
  <si>
    <t xml:space="preserve">FATOR DIÁRIO </t>
  </si>
  <si>
    <t>% M.CONTRIBUIÇÃO</t>
  </si>
  <si>
    <t>ATINGIDA</t>
  </si>
  <si>
    <t>NOMINAL</t>
  </si>
  <si>
    <t>PRAZO</t>
  </si>
  <si>
    <t>REAL</t>
  </si>
  <si>
    <t>DEBITO ICMS</t>
  </si>
  <si>
    <t>IRPJ</t>
  </si>
  <si>
    <t>M.CONTRIBUIÇÃO</t>
  </si>
  <si>
    <t>% M. CONTRIBUIÇÃO</t>
  </si>
  <si>
    <t>CAPITAL DE GIRO UNITÁRIO</t>
  </si>
  <si>
    <t>ESTOQUES</t>
  </si>
  <si>
    <t>TOTAL</t>
  </si>
  <si>
    <t>PRODUTOS</t>
  </si>
  <si>
    <t>A</t>
  </si>
  <si>
    <t>B</t>
  </si>
  <si>
    <t>C</t>
  </si>
  <si>
    <t>D</t>
  </si>
  <si>
    <t>CONTAS A RECEBER</t>
  </si>
  <si>
    <t>CONTAS A PAGAR</t>
  </si>
  <si>
    <t xml:space="preserve">CREDITO ICMS </t>
  </si>
  <si>
    <t xml:space="preserve">% CREDITO ICMS </t>
  </si>
  <si>
    <t>MOD</t>
  </si>
  <si>
    <t xml:space="preserve">RECEITAS OPERACIONAIS E MARGENS DE CONTRIBUIÇÃO </t>
  </si>
  <si>
    <t>% cresc.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</si>
  <si>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</si>
  <si>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</si>
  <si>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</si>
  <si>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</si>
  <si>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</si>
  <si>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</si>
  <si>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</si>
  <si>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</si>
  <si>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</si>
  <si>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</si>
  <si>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</si>
  <si>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</si>
  <si>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PREVISTO</t>
  </si>
  <si>
    <t>Previsto</t>
  </si>
  <si>
    <t xml:space="preserve">RECEITAS </t>
  </si>
  <si>
    <t>Produto A</t>
  </si>
  <si>
    <t>Produto B</t>
  </si>
  <si>
    <t>Produto C</t>
  </si>
  <si>
    <t>Produto D</t>
  </si>
  <si>
    <t xml:space="preserve"> M.CONTRIB.</t>
  </si>
  <si>
    <t>% M.CONTRIB.</t>
  </si>
  <si>
    <t>Ano</t>
  </si>
  <si>
    <t>VAR.%</t>
  </si>
  <si>
    <t>Atual</t>
  </si>
  <si>
    <t>Anterior</t>
  </si>
  <si>
    <t>INVESTIMENTOS</t>
  </si>
  <si>
    <t>Equipamentos</t>
  </si>
  <si>
    <t>Imobilizado Geral</t>
  </si>
  <si>
    <t xml:space="preserve">ANÁLISE DOS RESULTADOS </t>
  </si>
  <si>
    <t xml:space="preserve">LUCRO LÍQUIDO </t>
  </si>
  <si>
    <t>INDICADORES DE RESULTADO E RENTABILIDADE : TOTAL EMPRESA</t>
  </si>
  <si>
    <t xml:space="preserve">PATRIMÔNIO LÍQUIDO </t>
  </si>
  <si>
    <t>1. ANÁLISE DOS ÍNDICES DE RENTABILIDADE</t>
  </si>
  <si>
    <t>%</t>
  </si>
  <si>
    <t>OBJETIVO</t>
  </si>
  <si>
    <t>REALIZADO</t>
  </si>
  <si>
    <t>VARIAÇÃO</t>
  </si>
  <si>
    <t>RETORNO/P.LÍQUIDO</t>
  </si>
  <si>
    <t>LUCRAT./FATURAMENTO</t>
  </si>
  <si>
    <t>2. ANÁLISE DA PARTICIPAÇÃO DE MERCADO</t>
  </si>
  <si>
    <t>ATUAL</t>
  </si>
  <si>
    <t>13 a 14</t>
  </si>
  <si>
    <t>E</t>
  </si>
  <si>
    <t>Produto E</t>
  </si>
  <si>
    <t>CSLL</t>
  </si>
  <si>
    <t>% CSLL</t>
  </si>
  <si>
    <t>MARGEM DE CONTRIBUIÇÃO</t>
  </si>
  <si>
    <t>CUSTOS E DESPESAS FIXAS</t>
  </si>
  <si>
    <t>Lucro Presumido</t>
  </si>
  <si>
    <t>Lucro Líquido Acumulado presumido</t>
  </si>
  <si>
    <t>IRPJ ADICIONAL</t>
  </si>
  <si>
    <t xml:space="preserve">FATURAMENTO </t>
  </si>
  <si>
    <t>em aberto</t>
  </si>
  <si>
    <t>3 a 4</t>
  </si>
  <si>
    <t>1</t>
  </si>
  <si>
    <t>3. PONTO DE EQUILÍBRIO OPERACIONAL</t>
  </si>
  <si>
    <t>Custo Fixo</t>
  </si>
  <si>
    <t>% margem de Contribuição Média</t>
  </si>
  <si>
    <t>PEO (R$/ano)</t>
  </si>
  <si>
    <t>Dados e resultados</t>
  </si>
  <si>
    <t>mercado total (unidades/ano)</t>
  </si>
  <si>
    <t>% participacão atual</t>
  </si>
  <si>
    <t>volume atual ( unidades/ano)</t>
  </si>
  <si>
    <t>elasticidade</t>
  </si>
  <si>
    <t>volume futuro (unidades/ano)</t>
  </si>
  <si>
    <t>% participacão futuro</t>
  </si>
  <si>
    <t>faturamento anual</t>
  </si>
  <si>
    <t>margem anual</t>
  </si>
  <si>
    <t>capital de giro total</t>
  </si>
  <si>
    <t>Custos Indiretos</t>
  </si>
  <si>
    <t>MOI - Salários</t>
  </si>
  <si>
    <t>MOI - Encargos e benefícios</t>
  </si>
  <si>
    <t>Total MOI normal</t>
  </si>
  <si>
    <t xml:space="preserve">Energia elétrica </t>
  </si>
  <si>
    <t>depreciação</t>
  </si>
  <si>
    <t>aluguel</t>
  </si>
  <si>
    <t>Total CIF</t>
  </si>
  <si>
    <t>Total custos indiretos</t>
  </si>
  <si>
    <t>Despesas Indiretas</t>
  </si>
  <si>
    <t>Pessoal</t>
  </si>
  <si>
    <t>Administrativas</t>
  </si>
  <si>
    <t>MKT</t>
  </si>
  <si>
    <t>Financeiras</t>
  </si>
  <si>
    <t>Total Despesas Indiretas</t>
  </si>
  <si>
    <t>Custos e Despesas Indiretas</t>
  </si>
  <si>
    <t>Mercado com impostos</t>
  </si>
  <si>
    <t>p.v com impostos</t>
  </si>
  <si>
    <t>22*</t>
  </si>
  <si>
    <t>CMV</t>
  </si>
  <si>
    <t>prazo de venda</t>
  </si>
  <si>
    <t>ND</t>
  </si>
  <si>
    <t>prazo de compra</t>
  </si>
  <si>
    <t>dias de estoque</t>
  </si>
  <si>
    <t>% IRPJ</t>
  </si>
  <si>
    <t xml:space="preserve"> 17 e 14</t>
  </si>
  <si>
    <t>% participacão estimado</t>
  </si>
  <si>
    <t>volume estimado ( unidades/ano)</t>
  </si>
  <si>
    <t xml:space="preserve">Fatores Sazonais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</si>
</sst>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000"/>
    <numFmt numFmtId="168" formatCode="_(* #,##0.0_);_(* \(#,##0.0\);_(* &quot;-&quot;??_);_(@_)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10"/>
      <name val="Arial"/>
      <family val="2"/>
    </font>
    <font>
      <b/>
      <sz val="12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ACEAF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166" fontId="3" fillId="2" borderId="0" xfId="1" applyNumberFormat="1" applyFont="1" applyFill="1" applyAlignment="1">
      <alignment horizontal="center"/>
    </xf>
    <xf numFmtId="165" fontId="3" fillId="4" borderId="0" xfId="2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9" fontId="4" fillId="2" borderId="0" xfId="0" applyNumberFormat="1" applyFont="1" applyFill="1" applyAlignment="1">
      <alignment horizontal="center"/>
    </xf>
    <xf numFmtId="165" fontId="4" fillId="2" borderId="0" xfId="2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0" fontId="4" fillId="2" borderId="0" xfId="0" applyNumberFormat="1" applyFont="1" applyFill="1" applyAlignment="1">
      <alignment horizontal="center"/>
    </xf>
    <xf numFmtId="165" fontId="4" fillId="0" borderId="0" xfId="2" applyNumberFormat="1" applyFont="1" applyFill="1" applyAlignment="1">
      <alignment horizontal="center"/>
    </xf>
    <xf numFmtId="166" fontId="4" fillId="2" borderId="0" xfId="0" applyNumberFormat="1" applyFont="1" applyFill="1" applyAlignment="1">
      <alignment horizontal="center"/>
    </xf>
    <xf numFmtId="166" fontId="6" fillId="2" borderId="0" xfId="0" applyNumberFormat="1" applyFont="1" applyFill="1" applyAlignment="1">
      <alignment horizontal="center"/>
    </xf>
    <xf numFmtId="165" fontId="4" fillId="2" borderId="0" xfId="2" applyNumberFormat="1" applyFont="1" applyFill="1" applyAlignment="1"/>
    <xf numFmtId="38" fontId="9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Fill="1" applyAlignment="1">
      <alignment horizontal="center"/>
    </xf>
    <xf numFmtId="167" fontId="5" fillId="2" borderId="0" xfId="0" applyNumberFormat="1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5" fillId="0" borderId="0" xfId="0" applyFont="1" applyFill="1"/>
    <xf numFmtId="0" fontId="5" fillId="2" borderId="0" xfId="0" applyFont="1" applyFill="1"/>
    <xf numFmtId="0" fontId="5" fillId="0" borderId="0" xfId="0" applyFont="1"/>
    <xf numFmtId="2" fontId="5" fillId="0" borderId="0" xfId="0" applyNumberFormat="1" applyFont="1" applyFill="1"/>
    <xf numFmtId="167" fontId="5" fillId="2" borderId="0" xfId="0" applyNumberFormat="1" applyFont="1" applyFill="1"/>
    <xf numFmtId="2" fontId="5" fillId="2" borderId="0" xfId="0" applyNumberFormat="1" applyFont="1" applyFill="1"/>
    <xf numFmtId="164" fontId="1" fillId="3" borderId="0" xfId="2" applyFont="1" applyFill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5" fontId="1" fillId="0" borderId="0" xfId="2" applyNumberFormat="1" applyFont="1" applyAlignment="1">
      <alignment horizontal="center"/>
    </xf>
    <xf numFmtId="0" fontId="1" fillId="0" borderId="0" xfId="0" applyFont="1"/>
    <xf numFmtId="1" fontId="1" fillId="0" borderId="0" xfId="2" applyNumberFormat="1" applyFont="1" applyAlignment="1">
      <alignment horizontal="center"/>
    </xf>
    <xf numFmtId="3" fontId="1" fillId="2" borderId="0" xfId="0" applyNumberFormat="1" applyFont="1" applyFill="1" applyAlignment="1">
      <alignment horizontal="center"/>
    </xf>
    <xf numFmtId="38" fontId="1" fillId="2" borderId="0" xfId="0" applyNumberFormat="1" applyFont="1" applyFill="1" applyAlignment="1">
      <alignment horizontal="center"/>
    </xf>
    <xf numFmtId="38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6" fontId="1" fillId="2" borderId="0" xfId="1" applyNumberFormat="1" applyFont="1" applyFill="1" applyAlignment="1">
      <alignment horizontal="center"/>
    </xf>
    <xf numFmtId="164" fontId="1" fillId="0" borderId="0" xfId="2" applyFont="1" applyAlignment="1">
      <alignment horizontal="center"/>
    </xf>
    <xf numFmtId="38" fontId="1" fillId="0" borderId="0" xfId="0" applyNumberFormat="1" applyFont="1"/>
    <xf numFmtId="38" fontId="1" fillId="0" borderId="0" xfId="0" applyNumberFormat="1" applyFont="1" applyFill="1" applyAlignment="1">
      <alignment horizontal="center"/>
    </xf>
    <xf numFmtId="38" fontId="1" fillId="0" borderId="0" xfId="0" applyNumberFormat="1" applyFont="1" applyBorder="1" applyAlignment="1">
      <alignment horizontal="center"/>
    </xf>
    <xf numFmtId="38" fontId="1" fillId="0" borderId="0" xfId="0" applyNumberFormat="1" applyFont="1" applyAlignment="1"/>
    <xf numFmtId="3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168" fontId="3" fillId="2" borderId="0" xfId="2" applyNumberFormat="1" applyFont="1" applyFill="1" applyAlignment="1">
      <alignment horizontal="center"/>
    </xf>
    <xf numFmtId="9" fontId="1" fillId="0" borderId="0" xfId="0" applyNumberFormat="1" applyFont="1" applyAlignment="1">
      <alignment horizontal="center"/>
    </xf>
    <xf numFmtId="165" fontId="1" fillId="2" borderId="0" xfId="2" applyNumberFormat="1" applyFont="1" applyFill="1" applyAlignment="1">
      <alignment horizontal="center"/>
    </xf>
    <xf numFmtId="10" fontId="1" fillId="0" borderId="0" xfId="0" applyNumberFormat="1" applyFont="1" applyAlignment="1">
      <alignment horizontal="center"/>
    </xf>
    <xf numFmtId="49" fontId="1" fillId="2" borderId="0" xfId="2" applyNumberFormat="1" applyFont="1" applyFill="1" applyAlignment="1">
      <alignment horizontal="center"/>
    </xf>
    <xf numFmtId="9" fontId="1" fillId="0" borderId="0" xfId="1" applyFont="1" applyAlignment="1">
      <alignment horizontal="center"/>
    </xf>
    <xf numFmtId="166" fontId="1" fillId="0" borderId="0" xfId="1" applyNumberFormat="1" applyFont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to/Documents/Curso%20Forma&#231;&#227;o%20de%20Pre&#231;os/planilhas%20cursos%20pre&#231;os/MKT/trabalho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Margens"/>
      <sheetName val="Custos Fixos"/>
      <sheetName val="Resultado"/>
      <sheetName val="Índices"/>
      <sheetName val="produto E"/>
    </sheetNames>
    <sheetDataSet>
      <sheetData sheetId="0">
        <row r="25">
          <cell r="D25" t="e">
            <v>#DIV/0!</v>
          </cell>
        </row>
        <row r="41">
          <cell r="B41">
            <v>0</v>
          </cell>
        </row>
      </sheetData>
      <sheetData sheetId="1">
        <row r="25">
          <cell r="D25" t="e">
            <v>#DIV/0!</v>
          </cell>
        </row>
        <row r="40">
          <cell r="B40">
            <v>0.09</v>
          </cell>
        </row>
        <row r="41">
          <cell r="B41">
            <v>0</v>
          </cell>
        </row>
      </sheetData>
      <sheetData sheetId="2">
        <row r="25">
          <cell r="D25" t="e">
            <v>#DIV/0!</v>
          </cell>
        </row>
        <row r="40">
          <cell r="B40">
            <v>0.06</v>
          </cell>
        </row>
        <row r="41">
          <cell r="B41">
            <v>0</v>
          </cell>
        </row>
      </sheetData>
      <sheetData sheetId="3">
        <row r="25">
          <cell r="D25" t="e">
            <v>#DIV/0!</v>
          </cell>
        </row>
        <row r="40">
          <cell r="B40">
            <v>0.33600000000000002</v>
          </cell>
        </row>
        <row r="41">
          <cell r="B41">
            <v>0</v>
          </cell>
        </row>
      </sheetData>
      <sheetData sheetId="4">
        <row r="25">
          <cell r="D25" t="e">
            <v>#DIV/0!</v>
          </cell>
        </row>
        <row r="40">
          <cell r="B40">
            <v>0.15</v>
          </cell>
        </row>
        <row r="41">
          <cell r="B41">
            <v>0</v>
          </cell>
        </row>
      </sheetData>
      <sheetData sheetId="5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11">
          <cell r="B11" t="e">
            <v>#DIV/0!</v>
          </cell>
          <cell r="C11" t="e">
            <v>#DIV/0!</v>
          </cell>
          <cell r="D11" t="e">
            <v>#DIV/0!</v>
          </cell>
          <cell r="E11" t="e">
            <v>#DIV/0!</v>
          </cell>
          <cell r="F11" t="e">
            <v>#DIV/0!</v>
          </cell>
          <cell r="G11" t="e">
            <v>#DIV/0!</v>
          </cell>
          <cell r="H11" t="e">
            <v>#DIV/0!</v>
          </cell>
          <cell r="I11" t="e">
            <v>#DIV/0!</v>
          </cell>
          <cell r="J11" t="e">
            <v>#DIV/0!</v>
          </cell>
          <cell r="K11" t="e">
            <v>#DIV/0!</v>
          </cell>
          <cell r="L11" t="e">
            <v>#DIV/0!</v>
          </cell>
          <cell r="M11" t="e">
            <v>#DIV/0!</v>
          </cell>
        </row>
        <row r="18">
          <cell r="B18" t="e">
            <v>#DIV/0!</v>
          </cell>
        </row>
      </sheetData>
      <sheetData sheetId="6">
        <row r="25">
          <cell r="B25">
            <v>666666.66666666674</v>
          </cell>
          <cell r="C25">
            <v>666666.66666666674</v>
          </cell>
          <cell r="D25">
            <v>666666.66666666674</v>
          </cell>
          <cell r="E25">
            <v>666666.66666666674</v>
          </cell>
          <cell r="F25">
            <v>666666.66666666674</v>
          </cell>
          <cell r="G25">
            <v>666666.66666666674</v>
          </cell>
          <cell r="H25">
            <v>666666.66666666674</v>
          </cell>
          <cell r="I25">
            <v>666666.66666666674</v>
          </cell>
          <cell r="J25">
            <v>666666.66666666674</v>
          </cell>
          <cell r="K25">
            <v>666666.66666666674</v>
          </cell>
          <cell r="L25">
            <v>666666.66666666674</v>
          </cell>
          <cell r="M25">
            <v>666666.66666666674</v>
          </cell>
          <cell r="N25">
            <v>8000000</v>
          </cell>
        </row>
      </sheetData>
      <sheetData sheetId="7">
        <row r="16">
          <cell r="N16" t="e">
            <v>#DIV/0!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workbookViewId="0">
      <selection activeCell="F17" sqref="F17"/>
    </sheetView>
  </sheetViews>
  <sheetFormatPr defaultColWidth="11.42578125" defaultRowHeight="15" x14ac:dyDescent="0.2"/>
  <cols>
    <col min="1" max="1" width="37.140625" style="18" bestFit="1" customWidth="1"/>
    <col min="2" max="2" width="12.85546875" style="18" bestFit="1" customWidth="1"/>
    <col min="3" max="3" width="33.42578125" style="18" bestFit="1" customWidth="1"/>
    <col min="4" max="4" width="8.28515625" style="18" bestFit="1" customWidth="1"/>
    <col min="5" max="5" width="27.28515625" style="18" bestFit="1" customWidth="1"/>
    <col min="6" max="252" width="9.140625" style="18" customWidth="1"/>
    <col min="253" max="16384" width="11.42578125" style="18"/>
  </cols>
  <sheetData>
    <row r="1" spans="1:5" ht="15.75" x14ac:dyDescent="0.25">
      <c r="A1" s="17" t="s">
        <v>0</v>
      </c>
      <c r="C1" s="17" t="s">
        <v>5</v>
      </c>
      <c r="E1" s="5" t="s">
        <v>121</v>
      </c>
    </row>
    <row r="2" spans="1:5" x14ac:dyDescent="0.2">
      <c r="A2" s="18" t="s">
        <v>32</v>
      </c>
      <c r="B2" s="19">
        <v>18</v>
      </c>
      <c r="C2" s="18" t="s">
        <v>122</v>
      </c>
      <c r="E2" s="19" t="s">
        <v>123</v>
      </c>
    </row>
    <row r="3" spans="1:5" x14ac:dyDescent="0.2">
      <c r="A3" s="18" t="s">
        <v>6</v>
      </c>
      <c r="B3" s="19">
        <v>12</v>
      </c>
      <c r="C3" s="18" t="s">
        <v>124</v>
      </c>
      <c r="D3" s="19">
        <v>10</v>
      </c>
      <c r="E3" s="19"/>
    </row>
    <row r="4" spans="1:5" x14ac:dyDescent="0.2">
      <c r="A4" s="18" t="s">
        <v>7</v>
      </c>
      <c r="B4" s="19">
        <v>1</v>
      </c>
      <c r="C4" s="18" t="s">
        <v>125</v>
      </c>
      <c r="E4" s="19" t="s">
        <v>126</v>
      </c>
    </row>
    <row r="5" spans="1:5" x14ac:dyDescent="0.2">
      <c r="A5" s="18" t="s">
        <v>8</v>
      </c>
      <c r="B5" s="19">
        <v>0.65</v>
      </c>
      <c r="C5" s="18" t="s">
        <v>127</v>
      </c>
      <c r="E5" s="19" t="s">
        <v>126</v>
      </c>
    </row>
    <row r="6" spans="1:5" x14ac:dyDescent="0.2">
      <c r="A6" s="18" t="s">
        <v>9</v>
      </c>
      <c r="B6" s="19">
        <v>3</v>
      </c>
      <c r="C6" s="18" t="s">
        <v>128</v>
      </c>
      <c r="E6" s="19" t="s">
        <v>126</v>
      </c>
    </row>
    <row r="7" spans="1:5" x14ac:dyDescent="0.2">
      <c r="A7" s="18" t="s">
        <v>129</v>
      </c>
      <c r="B7" s="19">
        <v>1.2</v>
      </c>
    </row>
    <row r="8" spans="1:5" x14ac:dyDescent="0.2">
      <c r="A8" s="18" t="s">
        <v>81</v>
      </c>
      <c r="B8" s="19">
        <v>1.08</v>
      </c>
      <c r="C8" s="20"/>
      <c r="D8" s="20"/>
    </row>
    <row r="10" spans="1:5" x14ac:dyDescent="0.2">
      <c r="A10" s="18" t="s">
        <v>10</v>
      </c>
      <c r="B10" s="19">
        <v>1</v>
      </c>
      <c r="C10" s="18" t="s">
        <v>12</v>
      </c>
      <c r="D10" s="21"/>
    </row>
    <row r="11" spans="1:5" x14ac:dyDescent="0.2">
      <c r="A11" s="18" t="s">
        <v>11</v>
      </c>
      <c r="B11" s="22">
        <f>(B10/100+1)^(1/30)</f>
        <v>1.0003317327062342</v>
      </c>
      <c r="C11" s="18" t="s">
        <v>13</v>
      </c>
      <c r="D11" s="23" t="e">
        <f>D25</f>
        <v>#DIV/0!</v>
      </c>
    </row>
    <row r="13" spans="1:5" ht="15.75" x14ac:dyDescent="0.25">
      <c r="B13" s="17" t="s">
        <v>14</v>
      </c>
      <c r="C13" s="17" t="s">
        <v>15</v>
      </c>
      <c r="D13" s="17" t="s">
        <v>16</v>
      </c>
    </row>
    <row r="14" spans="1:5" x14ac:dyDescent="0.2">
      <c r="A14" s="18" t="s">
        <v>4</v>
      </c>
      <c r="B14" s="23">
        <f>D2</f>
        <v>0</v>
      </c>
      <c r="C14" s="24">
        <f>D4</f>
        <v>0</v>
      </c>
      <c r="D14" s="23">
        <f t="shared" ref="D14:D23" si="0">B14/($B$11^C14)</f>
        <v>0</v>
      </c>
    </row>
    <row r="15" spans="1:5" x14ac:dyDescent="0.2">
      <c r="A15" s="18" t="s">
        <v>124</v>
      </c>
      <c r="B15" s="23">
        <f>-D3</f>
        <v>-10</v>
      </c>
      <c r="C15" s="24">
        <f>D5</f>
        <v>0</v>
      </c>
      <c r="D15" s="23">
        <f t="shared" si="0"/>
        <v>-10</v>
      </c>
    </row>
    <row r="16" spans="1:5" x14ac:dyDescent="0.2">
      <c r="A16" s="18" t="s">
        <v>1</v>
      </c>
      <c r="B16" s="23">
        <f>-B14*B4/100</f>
        <v>0</v>
      </c>
      <c r="C16" s="25"/>
      <c r="D16" s="23">
        <f t="shared" si="0"/>
        <v>0</v>
      </c>
    </row>
    <row r="17" spans="1:4" x14ac:dyDescent="0.2">
      <c r="A17" s="18" t="s">
        <v>33</v>
      </c>
      <c r="B17" s="23">
        <v>-0.42</v>
      </c>
      <c r="C17" s="25"/>
      <c r="D17" s="23">
        <f t="shared" si="0"/>
        <v>-0.42</v>
      </c>
    </row>
    <row r="18" spans="1:4" x14ac:dyDescent="0.2">
      <c r="A18" s="18" t="s">
        <v>31</v>
      </c>
      <c r="B18" s="23">
        <f>-B15*B2/100</f>
        <v>1.8</v>
      </c>
      <c r="C18" s="25"/>
      <c r="D18" s="23">
        <f t="shared" si="0"/>
        <v>1.8</v>
      </c>
    </row>
    <row r="19" spans="1:4" x14ac:dyDescent="0.2">
      <c r="A19" s="18" t="s">
        <v>17</v>
      </c>
      <c r="B19" s="23">
        <f>-B14*B3/100</f>
        <v>0</v>
      </c>
      <c r="C19" s="25"/>
      <c r="D19" s="23">
        <f t="shared" si="0"/>
        <v>0</v>
      </c>
    </row>
    <row r="20" spans="1:4" x14ac:dyDescent="0.2">
      <c r="A20" s="18" t="s">
        <v>2</v>
      </c>
      <c r="B20" s="23">
        <f>-B14*B5/100</f>
        <v>0</v>
      </c>
      <c r="C20" s="25"/>
      <c r="D20" s="23">
        <f t="shared" si="0"/>
        <v>0</v>
      </c>
    </row>
    <row r="21" spans="1:4" x14ac:dyDescent="0.2">
      <c r="A21" s="18" t="s">
        <v>3</v>
      </c>
      <c r="B21" s="23">
        <f>-B14*B6/100</f>
        <v>0</v>
      </c>
      <c r="C21" s="25"/>
      <c r="D21" s="23">
        <f t="shared" si="0"/>
        <v>0</v>
      </c>
    </row>
    <row r="22" spans="1:4" x14ac:dyDescent="0.2">
      <c r="A22" s="18" t="s">
        <v>18</v>
      </c>
      <c r="B22" s="23">
        <f>-B14*B7/100</f>
        <v>0</v>
      </c>
      <c r="C22" s="25"/>
      <c r="D22" s="23">
        <f t="shared" si="0"/>
        <v>0</v>
      </c>
    </row>
    <row r="23" spans="1:4" x14ac:dyDescent="0.2">
      <c r="A23" s="18" t="s">
        <v>80</v>
      </c>
      <c r="B23" s="23">
        <f>-B14*B8/100</f>
        <v>0</v>
      </c>
      <c r="D23" s="23">
        <f t="shared" si="0"/>
        <v>0</v>
      </c>
    </row>
    <row r="24" spans="1:4" x14ac:dyDescent="0.2">
      <c r="A24" s="18" t="s">
        <v>19</v>
      </c>
      <c r="B24" s="23">
        <f>SUM(B14:B23)</f>
        <v>-8.6199999999999992</v>
      </c>
      <c r="C24" s="21"/>
      <c r="D24" s="23">
        <f>SUM(D14:D23)</f>
        <v>-8.6199999999999992</v>
      </c>
    </row>
    <row r="25" spans="1:4" x14ac:dyDescent="0.2">
      <c r="A25" s="18" t="s">
        <v>20</v>
      </c>
      <c r="B25" s="24" t="e">
        <f>(B24/B14)*100</f>
        <v>#DIV/0!</v>
      </c>
      <c r="C25" s="21"/>
      <c r="D25" s="23" t="e">
        <f>(D24/D14)*100</f>
        <v>#DIV/0!</v>
      </c>
    </row>
    <row r="26" spans="1:4" x14ac:dyDescent="0.2">
      <c r="B26" s="25"/>
      <c r="C26" s="21"/>
      <c r="D26" s="21"/>
    </row>
    <row r="27" spans="1:4" ht="15.75" x14ac:dyDescent="0.25">
      <c r="A27" s="17" t="s">
        <v>21</v>
      </c>
      <c r="C27" s="21"/>
      <c r="D27" s="21"/>
    </row>
    <row r="28" spans="1:4" x14ac:dyDescent="0.2">
      <c r="A28" s="18" t="s">
        <v>29</v>
      </c>
      <c r="B28" s="23">
        <f>-(B14*C14)/30</f>
        <v>0</v>
      </c>
      <c r="C28" s="21"/>
      <c r="D28" s="21"/>
    </row>
    <row r="29" spans="1:4" x14ac:dyDescent="0.2">
      <c r="A29" s="18" t="s">
        <v>22</v>
      </c>
      <c r="B29" s="23">
        <f>(B15*D6)/30</f>
        <v>0</v>
      </c>
      <c r="C29" s="21"/>
      <c r="D29" s="21"/>
    </row>
    <row r="30" spans="1:4" x14ac:dyDescent="0.2">
      <c r="A30" s="18" t="s">
        <v>30</v>
      </c>
      <c r="B30" s="23">
        <f>-(B15*C15)/30</f>
        <v>0</v>
      </c>
      <c r="C30" s="21"/>
      <c r="D30" s="21"/>
    </row>
    <row r="31" spans="1:4" x14ac:dyDescent="0.2">
      <c r="A31" s="18" t="s">
        <v>23</v>
      </c>
      <c r="B31" s="23">
        <f>SUM(B28:B30)</f>
        <v>0</v>
      </c>
      <c r="C31" s="21"/>
      <c r="D31" s="21"/>
    </row>
    <row r="32" spans="1:4" x14ac:dyDescent="0.2">
      <c r="C32" s="21"/>
      <c r="D32" s="21"/>
    </row>
    <row r="33" spans="1:4" ht="15.75" x14ac:dyDescent="0.25">
      <c r="A33" s="5" t="s">
        <v>95</v>
      </c>
      <c r="B33" s="21"/>
      <c r="D33" s="21"/>
    </row>
    <row r="34" spans="1:4" ht="15.75" x14ac:dyDescent="0.25">
      <c r="A34" s="5" t="s">
        <v>96</v>
      </c>
      <c r="B34" s="6">
        <v>150000</v>
      </c>
      <c r="D34" s="21"/>
    </row>
    <row r="35" spans="1:4" ht="15.75" x14ac:dyDescent="0.25">
      <c r="A35" s="5" t="s">
        <v>97</v>
      </c>
      <c r="B35" s="7">
        <v>1</v>
      </c>
      <c r="D35" s="21"/>
    </row>
    <row r="36" spans="1:4" ht="15.75" x14ac:dyDescent="0.25">
      <c r="A36" s="5" t="s">
        <v>98</v>
      </c>
      <c r="B36" s="8">
        <f>B34*B35</f>
        <v>150000</v>
      </c>
      <c r="D36" s="21"/>
    </row>
    <row r="37" spans="1:4" ht="15.75" x14ac:dyDescent="0.25">
      <c r="A37" s="5" t="s">
        <v>99</v>
      </c>
      <c r="B37" s="9">
        <v>1</v>
      </c>
      <c r="D37" s="21"/>
    </row>
    <row r="38" spans="1:4" ht="15.75" x14ac:dyDescent="0.25">
      <c r="A38" s="5" t="s">
        <v>100</v>
      </c>
      <c r="B38" s="8">
        <f>B36-(((B14/22)-1)*B37)*B36</f>
        <v>300000</v>
      </c>
      <c r="D38" s="21"/>
    </row>
    <row r="39" spans="1:4" ht="15.75" x14ac:dyDescent="0.25">
      <c r="A39" s="5"/>
      <c r="B39" s="8"/>
      <c r="D39" s="21"/>
    </row>
    <row r="40" spans="1:4" ht="15.75" x14ac:dyDescent="0.25">
      <c r="A40" s="5" t="s">
        <v>101</v>
      </c>
      <c r="B40" s="10">
        <f>B38/B34</f>
        <v>2</v>
      </c>
      <c r="D40" s="21"/>
    </row>
    <row r="41" spans="1:4" ht="15.75" x14ac:dyDescent="0.25">
      <c r="A41" s="5" t="s">
        <v>102</v>
      </c>
      <c r="B41" s="8">
        <f>B38*D14</f>
        <v>0</v>
      </c>
      <c r="D41" s="21"/>
    </row>
    <row r="42" spans="1:4" ht="15.75" x14ac:dyDescent="0.25">
      <c r="A42" s="5" t="s">
        <v>103</v>
      </c>
      <c r="B42" s="8">
        <f>D24*B38</f>
        <v>-2585999.9999999995</v>
      </c>
      <c r="D42" s="21"/>
    </row>
    <row r="43" spans="1:4" ht="15.75" x14ac:dyDescent="0.25">
      <c r="A43" s="5" t="s">
        <v>104</v>
      </c>
      <c r="B43" s="11">
        <f>B31*B38/12</f>
        <v>0</v>
      </c>
      <c r="D43" s="21"/>
    </row>
    <row r="44" spans="1:4" x14ac:dyDescent="0.2">
      <c r="B44" s="21"/>
      <c r="D44" s="21"/>
    </row>
    <row r="45" spans="1:4" x14ac:dyDescent="0.2">
      <c r="B45" s="21"/>
    </row>
    <row r="46" spans="1:4" x14ac:dyDescent="0.2">
      <c r="B46" s="21"/>
    </row>
    <row r="47" spans="1:4" x14ac:dyDescent="0.2">
      <c r="B47" s="21"/>
    </row>
    <row r="48" spans="1:4" x14ac:dyDescent="0.2">
      <c r="B48" s="21"/>
    </row>
    <row r="49" spans="2:2" x14ac:dyDescent="0.2">
      <c r="B49" s="21"/>
    </row>
    <row r="50" spans="2:2" x14ac:dyDescent="0.2">
      <c r="B50" s="21"/>
    </row>
    <row r="51" spans="2:2" x14ac:dyDescent="0.2">
      <c r="B51" s="21"/>
    </row>
    <row r="52" spans="2:2" x14ac:dyDescent="0.2">
      <c r="B52" s="21"/>
    </row>
    <row r="53" spans="2:2" x14ac:dyDescent="0.2">
      <c r="B53" s="21"/>
    </row>
    <row r="54" spans="2:2" x14ac:dyDescent="0.2">
      <c r="B54" s="21"/>
    </row>
    <row r="55" spans="2:2" x14ac:dyDescent="0.2">
      <c r="B55" s="21"/>
    </row>
    <row r="56" spans="2:2" x14ac:dyDescent="0.2">
      <c r="B56" s="21"/>
    </row>
    <row r="57" spans="2:2" x14ac:dyDescent="0.2">
      <c r="B57" s="21"/>
    </row>
    <row r="58" spans="2:2" x14ac:dyDescent="0.2">
      <c r="B58" s="21"/>
    </row>
    <row r="59" spans="2:2" x14ac:dyDescent="0.2">
      <c r="B59" s="21"/>
    </row>
    <row r="60" spans="2:2" x14ac:dyDescent="0.2">
      <c r="B60" s="21"/>
    </row>
    <row r="61" spans="2:2" x14ac:dyDescent="0.2">
      <c r="B61" s="21"/>
    </row>
    <row r="62" spans="2:2" x14ac:dyDescent="0.2">
      <c r="B62" s="21"/>
    </row>
    <row r="63" spans="2:2" x14ac:dyDescent="0.2">
      <c r="B63" s="21"/>
    </row>
    <row r="64" spans="2:2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  <row r="71" spans="2:2" x14ac:dyDescent="0.2">
      <c r="B71" s="21"/>
    </row>
    <row r="72" spans="2:2" x14ac:dyDescent="0.2">
      <c r="B72" s="21"/>
    </row>
    <row r="73" spans="2:2" x14ac:dyDescent="0.2">
      <c r="B73" s="21"/>
    </row>
    <row r="74" spans="2:2" x14ac:dyDescent="0.2">
      <c r="B74" s="21"/>
    </row>
    <row r="75" spans="2:2" x14ac:dyDescent="0.2">
      <c r="B75" s="21"/>
    </row>
    <row r="76" spans="2:2" x14ac:dyDescent="0.2">
      <c r="B76" s="21"/>
    </row>
    <row r="77" spans="2:2" x14ac:dyDescent="0.2">
      <c r="B77" s="21"/>
    </row>
    <row r="78" spans="2:2" x14ac:dyDescent="0.2">
      <c r="B78" s="21"/>
    </row>
    <row r="79" spans="2:2" x14ac:dyDescent="0.2">
      <c r="B79" s="21"/>
    </row>
    <row r="80" spans="2:2" x14ac:dyDescent="0.2">
      <c r="B80" s="21"/>
    </row>
    <row r="81" spans="2:2" x14ac:dyDescent="0.2">
      <c r="B81" s="21"/>
    </row>
    <row r="82" spans="2:2" x14ac:dyDescent="0.2">
      <c r="B82" s="21"/>
    </row>
    <row r="83" spans="2:2" x14ac:dyDescent="0.2">
      <c r="B83" s="21"/>
    </row>
    <row r="84" spans="2:2" x14ac:dyDescent="0.2">
      <c r="B84" s="21"/>
    </row>
    <row r="85" spans="2:2" x14ac:dyDescent="0.2">
      <c r="B85" s="21"/>
    </row>
    <row r="86" spans="2:2" x14ac:dyDescent="0.2">
      <c r="B86" s="21"/>
    </row>
    <row r="87" spans="2:2" x14ac:dyDescent="0.2">
      <c r="B87" s="21"/>
    </row>
    <row r="88" spans="2:2" x14ac:dyDescent="0.2">
      <c r="B88" s="21"/>
    </row>
    <row r="89" spans="2:2" x14ac:dyDescent="0.2">
      <c r="B89" s="21"/>
    </row>
    <row r="90" spans="2:2" x14ac:dyDescent="0.2">
      <c r="B90" s="21"/>
    </row>
    <row r="91" spans="2:2" x14ac:dyDescent="0.2">
      <c r="B91" s="21"/>
    </row>
    <row r="92" spans="2:2" x14ac:dyDescent="0.2">
      <c r="B92" s="21"/>
    </row>
    <row r="93" spans="2:2" x14ac:dyDescent="0.2">
      <c r="B93" s="21"/>
    </row>
    <row r="94" spans="2:2" x14ac:dyDescent="0.2">
      <c r="B94" s="21"/>
    </row>
    <row r="95" spans="2:2" x14ac:dyDescent="0.2">
      <c r="B95" s="21"/>
    </row>
    <row r="96" spans="2:2" x14ac:dyDescent="0.2">
      <c r="B96" s="21"/>
    </row>
    <row r="97" spans="2:2" x14ac:dyDescent="0.2">
      <c r="B97" s="21"/>
    </row>
    <row r="98" spans="2:2" x14ac:dyDescent="0.2">
      <c r="B98" s="21"/>
    </row>
    <row r="99" spans="2:2" x14ac:dyDescent="0.2">
      <c r="B99" s="21"/>
    </row>
    <row r="100" spans="2:2" x14ac:dyDescent="0.2">
      <c r="B100" s="21"/>
    </row>
    <row r="101" spans="2:2" x14ac:dyDescent="0.2">
      <c r="B101" s="21"/>
    </row>
    <row r="102" spans="2:2" x14ac:dyDescent="0.2">
      <c r="B102" s="21"/>
    </row>
    <row r="103" spans="2:2" x14ac:dyDescent="0.2">
      <c r="B103" s="21"/>
    </row>
    <row r="104" spans="2:2" x14ac:dyDescent="0.2">
      <c r="B104" s="21"/>
    </row>
    <row r="105" spans="2:2" x14ac:dyDescent="0.2">
      <c r="B105" s="21"/>
    </row>
    <row r="106" spans="2:2" x14ac:dyDescent="0.2">
      <c r="B106" s="21"/>
    </row>
    <row r="107" spans="2:2" x14ac:dyDescent="0.2">
      <c r="B107" s="21"/>
    </row>
    <row r="108" spans="2:2" x14ac:dyDescent="0.2">
      <c r="B108" s="21"/>
    </row>
    <row r="109" spans="2:2" x14ac:dyDescent="0.2">
      <c r="B109" s="21"/>
    </row>
    <row r="110" spans="2:2" x14ac:dyDescent="0.2">
      <c r="B110" s="21"/>
    </row>
    <row r="111" spans="2:2" x14ac:dyDescent="0.2">
      <c r="B111" s="21"/>
    </row>
    <row r="112" spans="2:2" x14ac:dyDescent="0.2">
      <c r="B112" s="21"/>
    </row>
    <row r="113" spans="2:2" x14ac:dyDescent="0.2">
      <c r="B113" s="21"/>
    </row>
    <row r="114" spans="2:2" x14ac:dyDescent="0.2">
      <c r="B114" s="21"/>
    </row>
    <row r="115" spans="2:2" x14ac:dyDescent="0.2">
      <c r="B115" s="21"/>
    </row>
    <row r="116" spans="2:2" x14ac:dyDescent="0.2">
      <c r="B116" s="21"/>
    </row>
    <row r="117" spans="2:2" x14ac:dyDescent="0.2">
      <c r="B117" s="21"/>
    </row>
    <row r="118" spans="2:2" x14ac:dyDescent="0.2">
      <c r="B118" s="21"/>
    </row>
    <row r="119" spans="2:2" x14ac:dyDescent="0.2">
      <c r="B119" s="21"/>
    </row>
    <row r="120" spans="2:2" x14ac:dyDescent="0.2">
      <c r="B120" s="21"/>
    </row>
    <row r="121" spans="2:2" x14ac:dyDescent="0.2">
      <c r="B121" s="21"/>
    </row>
    <row r="122" spans="2:2" x14ac:dyDescent="0.2">
      <c r="B122" s="21"/>
    </row>
    <row r="123" spans="2:2" x14ac:dyDescent="0.2">
      <c r="B123" s="21"/>
    </row>
    <row r="124" spans="2:2" x14ac:dyDescent="0.2">
      <c r="B124" s="21"/>
    </row>
    <row r="125" spans="2:2" x14ac:dyDescent="0.2">
      <c r="B125" s="21"/>
    </row>
    <row r="126" spans="2:2" x14ac:dyDescent="0.2">
      <c r="B126" s="21"/>
    </row>
    <row r="127" spans="2:2" x14ac:dyDescent="0.2">
      <c r="B127" s="21"/>
    </row>
    <row r="128" spans="2:2" x14ac:dyDescent="0.2">
      <c r="B128" s="21"/>
    </row>
    <row r="129" spans="2:2" x14ac:dyDescent="0.2">
      <c r="B129" s="21"/>
    </row>
  </sheetData>
  <pageMargins left="0.78740157499999996" right="0.78740157499999996" top="0.984251969" bottom="0.984251969" header="0.5" footer="0.5"/>
  <pageSetup orientation="portrait" horizontalDpi="300" verticalDpi="300" copies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workbookViewId="0">
      <selection activeCell="F11" sqref="F11"/>
    </sheetView>
  </sheetViews>
  <sheetFormatPr defaultColWidth="11.42578125" defaultRowHeight="15" x14ac:dyDescent="0.2"/>
  <cols>
    <col min="1" max="1" width="37.140625" style="18" bestFit="1" customWidth="1"/>
    <col min="2" max="2" width="13.7109375" style="18" bestFit="1" customWidth="1"/>
    <col min="3" max="3" width="23.5703125" style="18" bestFit="1" customWidth="1"/>
    <col min="4" max="4" width="8.28515625" style="18" bestFit="1" customWidth="1"/>
    <col min="5" max="5" width="27.28515625" style="18" bestFit="1" customWidth="1"/>
    <col min="6" max="252" width="9.140625" style="18" customWidth="1"/>
    <col min="253" max="16384" width="11.42578125" style="18"/>
  </cols>
  <sheetData>
    <row r="1" spans="1:5" ht="15.75" x14ac:dyDescent="0.25">
      <c r="A1" s="17" t="s">
        <v>0</v>
      </c>
      <c r="C1" s="17" t="s">
        <v>5</v>
      </c>
      <c r="E1" s="5" t="s">
        <v>121</v>
      </c>
    </row>
    <row r="2" spans="1:5" x14ac:dyDescent="0.2">
      <c r="A2" s="18" t="s">
        <v>32</v>
      </c>
      <c r="B2" s="19">
        <v>18</v>
      </c>
      <c r="C2" s="18" t="s">
        <v>122</v>
      </c>
      <c r="E2" s="19">
        <v>13.5</v>
      </c>
    </row>
    <row r="3" spans="1:5" x14ac:dyDescent="0.2">
      <c r="A3" s="18" t="s">
        <v>6</v>
      </c>
      <c r="B3" s="19">
        <v>12</v>
      </c>
      <c r="C3" s="18" t="s">
        <v>124</v>
      </c>
      <c r="D3" s="19">
        <v>8.5</v>
      </c>
      <c r="E3" s="19"/>
    </row>
    <row r="4" spans="1:5" x14ac:dyDescent="0.2">
      <c r="A4" s="18" t="s">
        <v>7</v>
      </c>
      <c r="B4" s="19">
        <v>1</v>
      </c>
      <c r="C4" s="18" t="s">
        <v>125</v>
      </c>
      <c r="E4" s="19">
        <v>30</v>
      </c>
    </row>
    <row r="5" spans="1:5" x14ac:dyDescent="0.2">
      <c r="A5" s="18" t="s">
        <v>8</v>
      </c>
      <c r="B5" s="19">
        <v>0.65</v>
      </c>
      <c r="C5" s="18" t="s">
        <v>127</v>
      </c>
      <c r="E5" s="19">
        <v>30</v>
      </c>
    </row>
    <row r="6" spans="1:5" x14ac:dyDescent="0.2">
      <c r="A6" s="18" t="s">
        <v>9</v>
      </c>
      <c r="B6" s="19">
        <v>3</v>
      </c>
      <c r="C6" s="18" t="s">
        <v>128</v>
      </c>
      <c r="E6" s="19">
        <v>20</v>
      </c>
    </row>
    <row r="7" spans="1:5" x14ac:dyDescent="0.2">
      <c r="A7" s="18" t="s">
        <v>129</v>
      </c>
      <c r="B7" s="19">
        <v>1.2</v>
      </c>
    </row>
    <row r="8" spans="1:5" x14ac:dyDescent="0.2">
      <c r="A8" s="18" t="s">
        <v>81</v>
      </c>
      <c r="B8" s="19">
        <v>1.08</v>
      </c>
      <c r="C8" s="20"/>
      <c r="D8" s="20"/>
    </row>
    <row r="10" spans="1:5" x14ac:dyDescent="0.2">
      <c r="A10" s="18" t="s">
        <v>10</v>
      </c>
      <c r="B10" s="19">
        <v>1</v>
      </c>
      <c r="C10" s="18" t="s">
        <v>12</v>
      </c>
      <c r="D10" s="21"/>
    </row>
    <row r="11" spans="1:5" x14ac:dyDescent="0.2">
      <c r="A11" s="18" t="s">
        <v>11</v>
      </c>
      <c r="B11" s="22">
        <f>(B10/100+1)^(1/30)</f>
        <v>1.0003317327062342</v>
      </c>
      <c r="C11" s="18" t="s">
        <v>13</v>
      </c>
      <c r="D11" s="23" t="e">
        <f>D25</f>
        <v>#DIV/0!</v>
      </c>
    </row>
    <row r="13" spans="1:5" ht="15.75" x14ac:dyDescent="0.25">
      <c r="B13" s="17" t="s">
        <v>14</v>
      </c>
      <c r="C13" s="17" t="s">
        <v>15</v>
      </c>
      <c r="D13" s="17" t="s">
        <v>16</v>
      </c>
    </row>
    <row r="14" spans="1:5" x14ac:dyDescent="0.2">
      <c r="A14" s="18" t="s">
        <v>4</v>
      </c>
      <c r="B14" s="23">
        <f>D2</f>
        <v>0</v>
      </c>
      <c r="C14" s="24">
        <f>D4</f>
        <v>0</v>
      </c>
      <c r="D14" s="23">
        <f t="shared" ref="D14:D23" si="0">B14/($B$11^C14)</f>
        <v>0</v>
      </c>
    </row>
    <row r="15" spans="1:5" x14ac:dyDescent="0.2">
      <c r="A15" s="18" t="s">
        <v>124</v>
      </c>
      <c r="B15" s="23">
        <f>-D3</f>
        <v>-8.5</v>
      </c>
      <c r="C15" s="24">
        <f>D5</f>
        <v>0</v>
      </c>
      <c r="D15" s="23">
        <f t="shared" si="0"/>
        <v>-8.5</v>
      </c>
    </row>
    <row r="16" spans="1:5" x14ac:dyDescent="0.2">
      <c r="A16" s="18" t="s">
        <v>1</v>
      </c>
      <c r="B16" s="23">
        <f>-B14*B4/100</f>
        <v>0</v>
      </c>
      <c r="C16" s="25"/>
      <c r="D16" s="23">
        <f t="shared" si="0"/>
        <v>0</v>
      </c>
    </row>
    <row r="17" spans="1:4" x14ac:dyDescent="0.2">
      <c r="A17" s="18" t="s">
        <v>33</v>
      </c>
      <c r="B17" s="23">
        <v>-0.42</v>
      </c>
      <c r="C17" s="25"/>
      <c r="D17" s="23">
        <f t="shared" si="0"/>
        <v>-0.42</v>
      </c>
    </row>
    <row r="18" spans="1:4" x14ac:dyDescent="0.2">
      <c r="A18" s="18" t="s">
        <v>31</v>
      </c>
      <c r="B18" s="23">
        <f>-B15*B2/100</f>
        <v>1.53</v>
      </c>
      <c r="C18" s="25"/>
      <c r="D18" s="23">
        <f t="shared" si="0"/>
        <v>1.53</v>
      </c>
    </row>
    <row r="19" spans="1:4" x14ac:dyDescent="0.2">
      <c r="A19" s="18" t="s">
        <v>17</v>
      </c>
      <c r="B19" s="23">
        <f>-B14*B3/100</f>
        <v>0</v>
      </c>
      <c r="C19" s="25"/>
      <c r="D19" s="23">
        <f t="shared" si="0"/>
        <v>0</v>
      </c>
    </row>
    <row r="20" spans="1:4" x14ac:dyDescent="0.2">
      <c r="A20" s="18" t="s">
        <v>2</v>
      </c>
      <c r="B20" s="23">
        <f>-B14*B5/100</f>
        <v>0</v>
      </c>
      <c r="C20" s="25"/>
      <c r="D20" s="23">
        <f t="shared" si="0"/>
        <v>0</v>
      </c>
    </row>
    <row r="21" spans="1:4" x14ac:dyDescent="0.2">
      <c r="A21" s="18" t="s">
        <v>3</v>
      </c>
      <c r="B21" s="23">
        <f>-B14*B6/100</f>
        <v>0</v>
      </c>
      <c r="C21" s="25"/>
      <c r="D21" s="23">
        <f t="shared" si="0"/>
        <v>0</v>
      </c>
    </row>
    <row r="22" spans="1:4" x14ac:dyDescent="0.2">
      <c r="A22" s="18" t="s">
        <v>18</v>
      </c>
      <c r="B22" s="23">
        <f>-B14*B7/100</f>
        <v>0</v>
      </c>
      <c r="C22" s="25"/>
      <c r="D22" s="23">
        <f t="shared" si="0"/>
        <v>0</v>
      </c>
    </row>
    <row r="23" spans="1:4" x14ac:dyDescent="0.2">
      <c r="A23" s="18" t="s">
        <v>80</v>
      </c>
      <c r="B23" s="23">
        <f>-B14*B8/100</f>
        <v>0</v>
      </c>
      <c r="D23" s="23">
        <f t="shared" si="0"/>
        <v>0</v>
      </c>
    </row>
    <row r="24" spans="1:4" x14ac:dyDescent="0.2">
      <c r="A24" s="18" t="s">
        <v>19</v>
      </c>
      <c r="B24" s="23">
        <f>SUM(B14:B23)</f>
        <v>-7.39</v>
      </c>
      <c r="C24" s="21"/>
      <c r="D24" s="23">
        <f>SUM(D14:D23)</f>
        <v>-7.39</v>
      </c>
    </row>
    <row r="25" spans="1:4" x14ac:dyDescent="0.2">
      <c r="A25" s="18" t="s">
        <v>20</v>
      </c>
      <c r="B25" s="24" t="e">
        <f>(B24/B14)*100</f>
        <v>#DIV/0!</v>
      </c>
      <c r="C25" s="21"/>
      <c r="D25" s="23" t="e">
        <f>(D24/D14)*100</f>
        <v>#DIV/0!</v>
      </c>
    </row>
    <row r="26" spans="1:4" x14ac:dyDescent="0.2">
      <c r="B26" s="25"/>
      <c r="C26" s="21"/>
      <c r="D26" s="21"/>
    </row>
    <row r="27" spans="1:4" ht="15.75" x14ac:dyDescent="0.25">
      <c r="A27" s="17" t="s">
        <v>21</v>
      </c>
      <c r="C27" s="21"/>
      <c r="D27" s="21"/>
    </row>
    <row r="28" spans="1:4" x14ac:dyDescent="0.2">
      <c r="A28" s="18" t="s">
        <v>29</v>
      </c>
      <c r="B28" s="23">
        <f>-(B14*C14)/30</f>
        <v>0</v>
      </c>
      <c r="C28" s="21"/>
      <c r="D28" s="21"/>
    </row>
    <row r="29" spans="1:4" x14ac:dyDescent="0.2">
      <c r="A29" s="18" t="s">
        <v>22</v>
      </c>
      <c r="B29" s="23">
        <f>(B15*D6)/30</f>
        <v>0</v>
      </c>
      <c r="C29" s="21"/>
      <c r="D29" s="21"/>
    </row>
    <row r="30" spans="1:4" x14ac:dyDescent="0.2">
      <c r="A30" s="18" t="s">
        <v>30</v>
      </c>
      <c r="B30" s="23">
        <f>-(B15*C15)/30</f>
        <v>0</v>
      </c>
      <c r="C30" s="21"/>
      <c r="D30" s="21"/>
    </row>
    <row r="31" spans="1:4" x14ac:dyDescent="0.2">
      <c r="A31" s="18" t="s">
        <v>23</v>
      </c>
      <c r="B31" s="23">
        <f>SUM(B28:B30)</f>
        <v>0</v>
      </c>
      <c r="C31" s="21"/>
      <c r="D31" s="21"/>
    </row>
    <row r="32" spans="1:4" x14ac:dyDescent="0.2">
      <c r="C32" s="21"/>
      <c r="D32" s="21"/>
    </row>
    <row r="33" spans="1:4" ht="15.75" x14ac:dyDescent="0.25">
      <c r="A33" s="5" t="s">
        <v>95</v>
      </c>
      <c r="B33" s="21"/>
      <c r="D33" s="21"/>
    </row>
    <row r="34" spans="1:4" ht="15.75" x14ac:dyDescent="0.25">
      <c r="A34" s="5" t="s">
        <v>96</v>
      </c>
      <c r="B34" s="6">
        <v>16000000</v>
      </c>
      <c r="D34" s="21"/>
    </row>
    <row r="35" spans="1:4" ht="15.75" x14ac:dyDescent="0.25">
      <c r="A35" s="5" t="s">
        <v>97</v>
      </c>
      <c r="B35" s="7">
        <v>0.03</v>
      </c>
      <c r="D35" s="21"/>
    </row>
    <row r="36" spans="1:4" ht="15.75" x14ac:dyDescent="0.25">
      <c r="A36" s="5" t="s">
        <v>98</v>
      </c>
      <c r="B36" s="8">
        <f>B34*B35</f>
        <v>480000</v>
      </c>
      <c r="D36" s="21"/>
    </row>
    <row r="37" spans="1:4" ht="15.75" x14ac:dyDescent="0.25">
      <c r="A37" s="5" t="s">
        <v>99</v>
      </c>
      <c r="B37" s="9">
        <v>2</v>
      </c>
      <c r="D37" s="21"/>
    </row>
    <row r="38" spans="1:4" ht="15.75" x14ac:dyDescent="0.25">
      <c r="A38" s="5" t="s">
        <v>100</v>
      </c>
      <c r="B38" s="8">
        <f>B36-(((B14/E2)-1)*B37)*B36</f>
        <v>1440000</v>
      </c>
      <c r="D38" s="21"/>
    </row>
    <row r="39" spans="1:4" ht="15.75" x14ac:dyDescent="0.25">
      <c r="A39" s="5"/>
      <c r="B39" s="8"/>
      <c r="D39" s="21"/>
    </row>
    <row r="40" spans="1:4" ht="15.75" x14ac:dyDescent="0.25">
      <c r="A40" s="5" t="s">
        <v>101</v>
      </c>
      <c r="B40" s="10">
        <f>B38/B34</f>
        <v>0.09</v>
      </c>
      <c r="D40" s="21"/>
    </row>
    <row r="41" spans="1:4" ht="15.75" x14ac:dyDescent="0.25">
      <c r="A41" s="5" t="s">
        <v>102</v>
      </c>
      <c r="B41" s="8">
        <f>B38*D14</f>
        <v>0</v>
      </c>
      <c r="D41" s="21"/>
    </row>
    <row r="42" spans="1:4" ht="15.75" x14ac:dyDescent="0.25">
      <c r="A42" s="5" t="s">
        <v>103</v>
      </c>
      <c r="B42" s="8">
        <f>D24*B38</f>
        <v>-10641600</v>
      </c>
      <c r="D42" s="21"/>
    </row>
    <row r="43" spans="1:4" ht="15.75" x14ac:dyDescent="0.25">
      <c r="A43" s="5" t="s">
        <v>104</v>
      </c>
      <c r="B43" s="11">
        <f>B31*B38/12</f>
        <v>0</v>
      </c>
      <c r="D43" s="21"/>
    </row>
    <row r="44" spans="1:4" x14ac:dyDescent="0.2">
      <c r="B44" s="21"/>
      <c r="D44" s="21"/>
    </row>
    <row r="45" spans="1:4" x14ac:dyDescent="0.2">
      <c r="B45" s="21"/>
    </row>
    <row r="46" spans="1:4" x14ac:dyDescent="0.2">
      <c r="B46" s="21"/>
    </row>
    <row r="47" spans="1:4" x14ac:dyDescent="0.2">
      <c r="B47" s="21"/>
    </row>
    <row r="48" spans="1:4" x14ac:dyDescent="0.2">
      <c r="B48" s="21"/>
    </row>
    <row r="49" spans="2:2" x14ac:dyDescent="0.2">
      <c r="B49" s="21"/>
    </row>
    <row r="50" spans="2:2" x14ac:dyDescent="0.2">
      <c r="B50" s="21"/>
    </row>
    <row r="51" spans="2:2" x14ac:dyDescent="0.2">
      <c r="B51" s="21"/>
    </row>
    <row r="52" spans="2:2" x14ac:dyDescent="0.2">
      <c r="B52" s="21"/>
    </row>
    <row r="53" spans="2:2" x14ac:dyDescent="0.2">
      <c r="B53" s="21"/>
    </row>
    <row r="54" spans="2:2" x14ac:dyDescent="0.2">
      <c r="B54" s="21"/>
    </row>
    <row r="55" spans="2:2" x14ac:dyDescent="0.2">
      <c r="B55" s="21"/>
    </row>
    <row r="56" spans="2:2" x14ac:dyDescent="0.2">
      <c r="B56" s="21"/>
    </row>
    <row r="57" spans="2:2" x14ac:dyDescent="0.2">
      <c r="B57" s="21"/>
    </row>
    <row r="58" spans="2:2" x14ac:dyDescent="0.2">
      <c r="B58" s="21"/>
    </row>
    <row r="59" spans="2:2" x14ac:dyDescent="0.2">
      <c r="B59" s="21"/>
    </row>
    <row r="60" spans="2:2" x14ac:dyDescent="0.2">
      <c r="B60" s="21"/>
    </row>
    <row r="61" spans="2:2" x14ac:dyDescent="0.2">
      <c r="B61" s="21"/>
    </row>
    <row r="62" spans="2:2" x14ac:dyDescent="0.2">
      <c r="B62" s="21"/>
    </row>
    <row r="63" spans="2:2" x14ac:dyDescent="0.2">
      <c r="B63" s="21"/>
    </row>
    <row r="64" spans="2:2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  <row r="71" spans="2:2" x14ac:dyDescent="0.2">
      <c r="B71" s="21"/>
    </row>
    <row r="72" spans="2:2" x14ac:dyDescent="0.2">
      <c r="B72" s="21"/>
    </row>
    <row r="73" spans="2:2" x14ac:dyDescent="0.2">
      <c r="B73" s="21"/>
    </row>
    <row r="74" spans="2:2" x14ac:dyDescent="0.2">
      <c r="B74" s="21"/>
    </row>
    <row r="75" spans="2:2" x14ac:dyDescent="0.2">
      <c r="B75" s="21"/>
    </row>
    <row r="76" spans="2:2" x14ac:dyDescent="0.2">
      <c r="B76" s="21"/>
    </row>
    <row r="77" spans="2:2" x14ac:dyDescent="0.2">
      <c r="B77" s="21"/>
    </row>
    <row r="78" spans="2:2" x14ac:dyDescent="0.2">
      <c r="B78" s="21"/>
    </row>
    <row r="79" spans="2:2" x14ac:dyDescent="0.2">
      <c r="B79" s="21"/>
    </row>
    <row r="80" spans="2:2" x14ac:dyDescent="0.2">
      <c r="B80" s="21"/>
    </row>
    <row r="81" spans="2:2" x14ac:dyDescent="0.2">
      <c r="B81" s="21"/>
    </row>
    <row r="82" spans="2:2" x14ac:dyDescent="0.2">
      <c r="B82" s="21"/>
    </row>
    <row r="83" spans="2:2" x14ac:dyDescent="0.2">
      <c r="B83" s="21"/>
    </row>
    <row r="84" spans="2:2" x14ac:dyDescent="0.2">
      <c r="B84" s="21"/>
    </row>
    <row r="85" spans="2:2" x14ac:dyDescent="0.2">
      <c r="B85" s="21"/>
    </row>
    <row r="86" spans="2:2" x14ac:dyDescent="0.2">
      <c r="B86" s="21"/>
    </row>
    <row r="87" spans="2:2" x14ac:dyDescent="0.2">
      <c r="B87" s="21"/>
    </row>
    <row r="88" spans="2:2" x14ac:dyDescent="0.2">
      <c r="B88" s="21"/>
    </row>
    <row r="89" spans="2:2" x14ac:dyDescent="0.2">
      <c r="B89" s="21"/>
    </row>
    <row r="90" spans="2:2" x14ac:dyDescent="0.2">
      <c r="B90" s="21"/>
    </row>
    <row r="91" spans="2:2" x14ac:dyDescent="0.2">
      <c r="B91" s="21"/>
    </row>
    <row r="92" spans="2:2" x14ac:dyDescent="0.2">
      <c r="B92" s="21"/>
    </row>
    <row r="93" spans="2:2" x14ac:dyDescent="0.2">
      <c r="B93" s="21"/>
    </row>
    <row r="94" spans="2:2" x14ac:dyDescent="0.2">
      <c r="B94" s="21"/>
    </row>
    <row r="95" spans="2:2" x14ac:dyDescent="0.2">
      <c r="B95" s="21"/>
    </row>
    <row r="96" spans="2:2" x14ac:dyDescent="0.2">
      <c r="B96" s="21"/>
    </row>
    <row r="97" spans="2:2" x14ac:dyDescent="0.2">
      <c r="B97" s="21"/>
    </row>
    <row r="98" spans="2:2" x14ac:dyDescent="0.2">
      <c r="B98" s="21"/>
    </row>
    <row r="99" spans="2:2" x14ac:dyDescent="0.2">
      <c r="B99" s="21"/>
    </row>
    <row r="100" spans="2:2" x14ac:dyDescent="0.2">
      <c r="B100" s="21"/>
    </row>
    <row r="101" spans="2:2" x14ac:dyDescent="0.2">
      <c r="B101" s="21"/>
    </row>
    <row r="102" spans="2:2" x14ac:dyDescent="0.2">
      <c r="B102" s="21"/>
    </row>
    <row r="103" spans="2:2" x14ac:dyDescent="0.2">
      <c r="B103" s="21"/>
    </row>
    <row r="104" spans="2:2" x14ac:dyDescent="0.2">
      <c r="B104" s="21"/>
    </row>
    <row r="105" spans="2:2" x14ac:dyDescent="0.2">
      <c r="B105" s="21"/>
    </row>
    <row r="106" spans="2:2" x14ac:dyDescent="0.2">
      <c r="B106" s="21"/>
    </row>
    <row r="107" spans="2:2" x14ac:dyDescent="0.2">
      <c r="B107" s="21"/>
    </row>
    <row r="108" spans="2:2" x14ac:dyDescent="0.2">
      <c r="B108" s="21"/>
    </row>
    <row r="109" spans="2:2" x14ac:dyDescent="0.2">
      <c r="B109" s="21"/>
    </row>
    <row r="110" spans="2:2" x14ac:dyDescent="0.2">
      <c r="B110" s="21"/>
    </row>
    <row r="111" spans="2:2" x14ac:dyDescent="0.2">
      <c r="B111" s="21"/>
    </row>
    <row r="112" spans="2:2" x14ac:dyDescent="0.2">
      <c r="B112" s="21"/>
    </row>
    <row r="113" spans="2:2" x14ac:dyDescent="0.2">
      <c r="B113" s="21"/>
    </row>
    <row r="114" spans="2:2" x14ac:dyDescent="0.2">
      <c r="B114" s="21"/>
    </row>
    <row r="115" spans="2:2" x14ac:dyDescent="0.2">
      <c r="B115" s="21"/>
    </row>
    <row r="116" spans="2:2" x14ac:dyDescent="0.2">
      <c r="B116" s="21"/>
    </row>
    <row r="117" spans="2:2" x14ac:dyDescent="0.2">
      <c r="B117" s="21"/>
    </row>
    <row r="118" spans="2:2" x14ac:dyDescent="0.2">
      <c r="B118" s="21"/>
    </row>
    <row r="119" spans="2:2" x14ac:dyDescent="0.2">
      <c r="B119" s="21"/>
    </row>
    <row r="120" spans="2:2" x14ac:dyDescent="0.2">
      <c r="B120" s="21"/>
    </row>
    <row r="121" spans="2:2" x14ac:dyDescent="0.2">
      <c r="B121" s="21"/>
    </row>
    <row r="122" spans="2:2" x14ac:dyDescent="0.2">
      <c r="B122" s="21"/>
    </row>
    <row r="123" spans="2:2" x14ac:dyDescent="0.2">
      <c r="B123" s="21"/>
    </row>
    <row r="124" spans="2:2" x14ac:dyDescent="0.2">
      <c r="B124" s="21"/>
    </row>
    <row r="125" spans="2:2" x14ac:dyDescent="0.2">
      <c r="B125" s="21"/>
    </row>
    <row r="126" spans="2:2" x14ac:dyDescent="0.2">
      <c r="B126" s="21"/>
    </row>
    <row r="127" spans="2:2" x14ac:dyDescent="0.2">
      <c r="B127" s="21"/>
    </row>
    <row r="128" spans="2:2" x14ac:dyDescent="0.2">
      <c r="B128" s="21"/>
    </row>
    <row r="129" spans="2:2" x14ac:dyDescent="0.2">
      <c r="B129" s="21"/>
    </row>
  </sheetData>
  <pageMargins left="0.78740157499999996" right="0.78740157499999996" top="0.984251969" bottom="0.984251969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workbookViewId="0">
      <selection activeCell="H22" sqref="H22"/>
    </sheetView>
  </sheetViews>
  <sheetFormatPr defaultColWidth="11.42578125" defaultRowHeight="15" x14ac:dyDescent="0.2"/>
  <cols>
    <col min="1" max="1" width="37.140625" style="18" bestFit="1" customWidth="1"/>
    <col min="2" max="2" width="16.140625" style="18" bestFit="1" customWidth="1"/>
    <col min="3" max="3" width="33.42578125" style="18" bestFit="1" customWidth="1"/>
    <col min="4" max="4" width="9.140625" style="18" customWidth="1"/>
    <col min="5" max="5" width="27.28515625" style="18" bestFit="1" customWidth="1"/>
    <col min="6" max="252" width="9.140625" style="18" customWidth="1"/>
    <col min="253" max="16384" width="11.42578125" style="18"/>
  </cols>
  <sheetData>
    <row r="1" spans="1:5" ht="15.75" x14ac:dyDescent="0.25">
      <c r="A1" s="17" t="s">
        <v>0</v>
      </c>
      <c r="C1" s="17" t="s">
        <v>5</v>
      </c>
      <c r="E1" s="5" t="s">
        <v>121</v>
      </c>
    </row>
    <row r="2" spans="1:5" x14ac:dyDescent="0.2">
      <c r="A2" s="18" t="s">
        <v>32</v>
      </c>
      <c r="B2" s="19">
        <v>12</v>
      </c>
      <c r="C2" s="18" t="s">
        <v>122</v>
      </c>
      <c r="E2" s="19">
        <v>11.5</v>
      </c>
    </row>
    <row r="3" spans="1:5" x14ac:dyDescent="0.2">
      <c r="A3" s="18" t="s">
        <v>6</v>
      </c>
      <c r="B3" s="19">
        <v>12</v>
      </c>
      <c r="C3" s="18" t="s">
        <v>124</v>
      </c>
      <c r="D3" s="19">
        <v>10</v>
      </c>
      <c r="E3" s="19"/>
    </row>
    <row r="4" spans="1:5" x14ac:dyDescent="0.2">
      <c r="A4" s="18" t="s">
        <v>7</v>
      </c>
      <c r="B4" s="19">
        <v>1</v>
      </c>
      <c r="C4" s="18" t="s">
        <v>125</v>
      </c>
      <c r="E4" s="19">
        <v>0</v>
      </c>
    </row>
    <row r="5" spans="1:5" x14ac:dyDescent="0.2">
      <c r="A5" s="18" t="s">
        <v>8</v>
      </c>
      <c r="B5" s="19">
        <v>0.65</v>
      </c>
      <c r="C5" s="18" t="s">
        <v>127</v>
      </c>
      <c r="E5" s="19">
        <v>20</v>
      </c>
    </row>
    <row r="6" spans="1:5" x14ac:dyDescent="0.2">
      <c r="A6" s="18" t="s">
        <v>9</v>
      </c>
      <c r="B6" s="19">
        <v>3</v>
      </c>
      <c r="C6" s="18" t="s">
        <v>128</v>
      </c>
      <c r="E6" s="19">
        <v>5</v>
      </c>
    </row>
    <row r="7" spans="1:5" x14ac:dyDescent="0.2">
      <c r="A7" s="18" t="s">
        <v>129</v>
      </c>
      <c r="B7" s="19">
        <v>1.2</v>
      </c>
    </row>
    <row r="8" spans="1:5" x14ac:dyDescent="0.2">
      <c r="A8" s="18" t="s">
        <v>81</v>
      </c>
      <c r="B8" s="19">
        <v>1.08</v>
      </c>
      <c r="C8" s="20"/>
      <c r="D8" s="20"/>
    </row>
    <row r="10" spans="1:5" x14ac:dyDescent="0.2">
      <c r="A10" s="18" t="s">
        <v>10</v>
      </c>
      <c r="B10" s="19">
        <v>1</v>
      </c>
      <c r="C10" s="18" t="s">
        <v>12</v>
      </c>
      <c r="D10" s="21"/>
    </row>
    <row r="11" spans="1:5" x14ac:dyDescent="0.2">
      <c r="A11" s="18" t="s">
        <v>11</v>
      </c>
      <c r="B11" s="22">
        <f>(B10/100+1)^(1/30)</f>
        <v>1.0003317327062342</v>
      </c>
      <c r="C11" s="18" t="s">
        <v>13</v>
      </c>
      <c r="D11" s="23" t="e">
        <f>D25</f>
        <v>#DIV/0!</v>
      </c>
    </row>
    <row r="13" spans="1:5" ht="15.75" x14ac:dyDescent="0.25">
      <c r="B13" s="17" t="s">
        <v>14</v>
      </c>
      <c r="C13" s="17" t="s">
        <v>15</v>
      </c>
      <c r="D13" s="17" t="s">
        <v>16</v>
      </c>
    </row>
    <row r="14" spans="1:5" x14ac:dyDescent="0.2">
      <c r="A14" s="18" t="s">
        <v>4</v>
      </c>
      <c r="B14" s="23">
        <f>D2</f>
        <v>0</v>
      </c>
      <c r="C14" s="24">
        <f>D4</f>
        <v>0</v>
      </c>
      <c r="D14" s="23">
        <f t="shared" ref="D14:D23" si="0">B14/($B$11^C14)</f>
        <v>0</v>
      </c>
    </row>
    <row r="15" spans="1:5" x14ac:dyDescent="0.2">
      <c r="A15" s="18" t="s">
        <v>124</v>
      </c>
      <c r="B15" s="23">
        <f>-D3</f>
        <v>-10</v>
      </c>
      <c r="C15" s="24">
        <f>D5</f>
        <v>0</v>
      </c>
      <c r="D15" s="23">
        <f t="shared" si="0"/>
        <v>-10</v>
      </c>
    </row>
    <row r="16" spans="1:5" x14ac:dyDescent="0.2">
      <c r="A16" s="18" t="s">
        <v>1</v>
      </c>
      <c r="B16" s="23">
        <f>-B14*B4/100</f>
        <v>0</v>
      </c>
      <c r="C16" s="25"/>
      <c r="D16" s="23">
        <f t="shared" si="0"/>
        <v>0</v>
      </c>
    </row>
    <row r="17" spans="1:4" x14ac:dyDescent="0.2">
      <c r="A17" s="18" t="s">
        <v>33</v>
      </c>
      <c r="B17" s="23">
        <v>-0.42</v>
      </c>
      <c r="C17" s="25"/>
      <c r="D17" s="23">
        <f t="shared" si="0"/>
        <v>-0.42</v>
      </c>
    </row>
    <row r="18" spans="1:4" x14ac:dyDescent="0.2">
      <c r="A18" s="18" t="s">
        <v>31</v>
      </c>
      <c r="B18" s="23">
        <f>-B15*B2/100</f>
        <v>1.2</v>
      </c>
      <c r="C18" s="25"/>
      <c r="D18" s="23">
        <f t="shared" si="0"/>
        <v>1.2</v>
      </c>
    </row>
    <row r="19" spans="1:4" x14ac:dyDescent="0.2">
      <c r="A19" s="18" t="s">
        <v>17</v>
      </c>
      <c r="B19" s="23">
        <f>-B14*B3/100</f>
        <v>0</v>
      </c>
      <c r="C19" s="25"/>
      <c r="D19" s="23">
        <f t="shared" si="0"/>
        <v>0</v>
      </c>
    </row>
    <row r="20" spans="1:4" x14ac:dyDescent="0.2">
      <c r="A20" s="18" t="s">
        <v>2</v>
      </c>
      <c r="B20" s="23">
        <f>-B14*B5/100</f>
        <v>0</v>
      </c>
      <c r="C20" s="25"/>
      <c r="D20" s="23">
        <f t="shared" si="0"/>
        <v>0</v>
      </c>
    </row>
    <row r="21" spans="1:4" x14ac:dyDescent="0.2">
      <c r="A21" s="18" t="s">
        <v>3</v>
      </c>
      <c r="B21" s="23">
        <f>-B14*B6/100</f>
        <v>0</v>
      </c>
      <c r="C21" s="25"/>
      <c r="D21" s="23">
        <f t="shared" si="0"/>
        <v>0</v>
      </c>
    </row>
    <row r="22" spans="1:4" x14ac:dyDescent="0.2">
      <c r="A22" s="18" t="s">
        <v>18</v>
      </c>
      <c r="B22" s="23">
        <f>-B14*B7/100</f>
        <v>0</v>
      </c>
      <c r="C22" s="25"/>
      <c r="D22" s="23">
        <f t="shared" si="0"/>
        <v>0</v>
      </c>
    </row>
    <row r="23" spans="1:4" x14ac:dyDescent="0.2">
      <c r="A23" s="18" t="s">
        <v>80</v>
      </c>
      <c r="B23" s="23">
        <f>-B14*B8/100</f>
        <v>0</v>
      </c>
      <c r="D23" s="23">
        <f t="shared" si="0"/>
        <v>0</v>
      </c>
    </row>
    <row r="24" spans="1:4" x14ac:dyDescent="0.2">
      <c r="A24" s="18" t="s">
        <v>19</v>
      </c>
      <c r="B24" s="23">
        <f>SUM(B14:B23)</f>
        <v>-9.2200000000000006</v>
      </c>
      <c r="C24" s="21"/>
      <c r="D24" s="23">
        <f>SUM(D14:D23)</f>
        <v>-9.2200000000000006</v>
      </c>
    </row>
    <row r="25" spans="1:4" x14ac:dyDescent="0.2">
      <c r="A25" s="18" t="s">
        <v>20</v>
      </c>
      <c r="B25" s="24" t="e">
        <f>(B24/B14)*100</f>
        <v>#DIV/0!</v>
      </c>
      <c r="C25" s="21"/>
      <c r="D25" s="23" t="e">
        <f>(D24/D14)*100</f>
        <v>#DIV/0!</v>
      </c>
    </row>
    <row r="26" spans="1:4" x14ac:dyDescent="0.2">
      <c r="B26" s="25"/>
      <c r="C26" s="21"/>
      <c r="D26" s="21"/>
    </row>
    <row r="27" spans="1:4" ht="15.75" x14ac:dyDescent="0.25">
      <c r="A27" s="17" t="s">
        <v>21</v>
      </c>
      <c r="C27" s="21"/>
      <c r="D27" s="21"/>
    </row>
    <row r="28" spans="1:4" x14ac:dyDescent="0.2">
      <c r="A28" s="18" t="s">
        <v>29</v>
      </c>
      <c r="B28" s="23">
        <f>-(B14*C14)/30</f>
        <v>0</v>
      </c>
      <c r="C28" s="21"/>
      <c r="D28" s="21"/>
    </row>
    <row r="29" spans="1:4" x14ac:dyDescent="0.2">
      <c r="A29" s="18" t="s">
        <v>22</v>
      </c>
      <c r="B29" s="23">
        <f>(B15*D6)/30</f>
        <v>0</v>
      </c>
      <c r="C29" s="21"/>
      <c r="D29" s="21"/>
    </row>
    <row r="30" spans="1:4" x14ac:dyDescent="0.2">
      <c r="A30" s="18" t="s">
        <v>30</v>
      </c>
      <c r="B30" s="23">
        <f>-(B15*C15)/30</f>
        <v>0</v>
      </c>
      <c r="C30" s="21"/>
      <c r="D30" s="21"/>
    </row>
    <row r="31" spans="1:4" x14ac:dyDescent="0.2">
      <c r="A31" s="18" t="s">
        <v>23</v>
      </c>
      <c r="B31" s="23">
        <f>SUM(B28:B30)</f>
        <v>0</v>
      </c>
      <c r="C31" s="21"/>
      <c r="D31" s="21"/>
    </row>
    <row r="32" spans="1:4" x14ac:dyDescent="0.2">
      <c r="C32" s="21"/>
      <c r="D32" s="21"/>
    </row>
    <row r="33" spans="1:4" ht="15.75" x14ac:dyDescent="0.25">
      <c r="A33" s="5" t="s">
        <v>95</v>
      </c>
      <c r="B33" s="21"/>
      <c r="D33" s="21"/>
    </row>
    <row r="34" spans="1:4" ht="15.75" x14ac:dyDescent="0.25">
      <c r="A34" s="5" t="s">
        <v>96</v>
      </c>
      <c r="B34" s="6">
        <v>20000000</v>
      </c>
      <c r="D34" s="21"/>
    </row>
    <row r="35" spans="1:4" ht="15.75" x14ac:dyDescent="0.25">
      <c r="A35" s="5" t="s">
        <v>97</v>
      </c>
      <c r="B35" s="12">
        <v>0.01</v>
      </c>
      <c r="D35" s="21"/>
    </row>
    <row r="36" spans="1:4" ht="15.75" x14ac:dyDescent="0.25">
      <c r="A36" s="5" t="s">
        <v>98</v>
      </c>
      <c r="B36" s="8">
        <f>B34*B35</f>
        <v>200000</v>
      </c>
      <c r="D36" s="21"/>
    </row>
    <row r="37" spans="1:4" ht="15.75" x14ac:dyDescent="0.25">
      <c r="A37" s="5" t="s">
        <v>99</v>
      </c>
      <c r="B37" s="9">
        <v>5</v>
      </c>
      <c r="D37" s="21"/>
    </row>
    <row r="38" spans="1:4" ht="15.75" x14ac:dyDescent="0.25">
      <c r="A38" s="5" t="s">
        <v>100</v>
      </c>
      <c r="B38" s="8">
        <f>B36-(((B14/E2)-1)*B37)*B36</f>
        <v>1200000</v>
      </c>
      <c r="D38" s="21"/>
    </row>
    <row r="39" spans="1:4" ht="15.75" x14ac:dyDescent="0.25">
      <c r="A39" s="5"/>
      <c r="B39" s="8"/>
      <c r="D39" s="21"/>
    </row>
    <row r="40" spans="1:4" ht="15.75" x14ac:dyDescent="0.25">
      <c r="A40" s="5" t="s">
        <v>101</v>
      </c>
      <c r="B40" s="10">
        <f>B38/B34</f>
        <v>0.06</v>
      </c>
      <c r="D40" s="21"/>
    </row>
    <row r="41" spans="1:4" ht="15.75" x14ac:dyDescent="0.25">
      <c r="A41" s="5" t="s">
        <v>102</v>
      </c>
      <c r="B41" s="8">
        <f>B38*D14</f>
        <v>0</v>
      </c>
      <c r="D41" s="21"/>
    </row>
    <row r="42" spans="1:4" ht="15.75" x14ac:dyDescent="0.25">
      <c r="A42" s="5" t="s">
        <v>103</v>
      </c>
      <c r="B42" s="8">
        <f>D24*B38</f>
        <v>-11064000</v>
      </c>
      <c r="D42" s="21"/>
    </row>
    <row r="43" spans="1:4" ht="15.75" x14ac:dyDescent="0.25">
      <c r="A43" s="5" t="s">
        <v>104</v>
      </c>
      <c r="B43" s="11">
        <f>B31*B38/12</f>
        <v>0</v>
      </c>
      <c r="D43" s="21"/>
    </row>
    <row r="44" spans="1:4" x14ac:dyDescent="0.2">
      <c r="B44" s="21"/>
      <c r="D44" s="21"/>
    </row>
    <row r="45" spans="1:4" x14ac:dyDescent="0.2">
      <c r="B45" s="21"/>
    </row>
    <row r="46" spans="1:4" x14ac:dyDescent="0.2">
      <c r="B46" s="21"/>
    </row>
    <row r="47" spans="1:4" x14ac:dyDescent="0.2">
      <c r="B47" s="21"/>
    </row>
    <row r="48" spans="1:4" x14ac:dyDescent="0.2">
      <c r="B48" s="21"/>
    </row>
    <row r="49" spans="2:2" x14ac:dyDescent="0.2">
      <c r="B49" s="21"/>
    </row>
    <row r="50" spans="2:2" x14ac:dyDescent="0.2">
      <c r="B50" s="21"/>
    </row>
    <row r="51" spans="2:2" x14ac:dyDescent="0.2">
      <c r="B51" s="21"/>
    </row>
    <row r="52" spans="2:2" x14ac:dyDescent="0.2">
      <c r="B52" s="21"/>
    </row>
    <row r="53" spans="2:2" x14ac:dyDescent="0.2">
      <c r="B53" s="21"/>
    </row>
    <row r="54" spans="2:2" x14ac:dyDescent="0.2">
      <c r="B54" s="21"/>
    </row>
    <row r="55" spans="2:2" x14ac:dyDescent="0.2">
      <c r="B55" s="21"/>
    </row>
    <row r="56" spans="2:2" x14ac:dyDescent="0.2">
      <c r="B56" s="21"/>
    </row>
    <row r="57" spans="2:2" x14ac:dyDescent="0.2">
      <c r="B57" s="21"/>
    </row>
    <row r="58" spans="2:2" x14ac:dyDescent="0.2">
      <c r="B58" s="21"/>
    </row>
    <row r="59" spans="2:2" x14ac:dyDescent="0.2">
      <c r="B59" s="21"/>
    </row>
    <row r="60" spans="2:2" x14ac:dyDescent="0.2">
      <c r="B60" s="21"/>
    </row>
    <row r="61" spans="2:2" x14ac:dyDescent="0.2">
      <c r="B61" s="21"/>
    </row>
    <row r="62" spans="2:2" x14ac:dyDescent="0.2">
      <c r="B62" s="21"/>
    </row>
    <row r="63" spans="2:2" x14ac:dyDescent="0.2">
      <c r="B63" s="21"/>
    </row>
    <row r="64" spans="2:2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  <row r="71" spans="2:2" x14ac:dyDescent="0.2">
      <c r="B71" s="21"/>
    </row>
    <row r="72" spans="2:2" x14ac:dyDescent="0.2">
      <c r="B72" s="21"/>
    </row>
    <row r="73" spans="2:2" x14ac:dyDescent="0.2">
      <c r="B73" s="21"/>
    </row>
    <row r="74" spans="2:2" x14ac:dyDescent="0.2">
      <c r="B74" s="21"/>
    </row>
    <row r="75" spans="2:2" x14ac:dyDescent="0.2">
      <c r="B75" s="21"/>
    </row>
    <row r="76" spans="2:2" x14ac:dyDescent="0.2">
      <c r="B76" s="21"/>
    </row>
    <row r="77" spans="2:2" x14ac:dyDescent="0.2">
      <c r="B77" s="21"/>
    </row>
    <row r="78" spans="2:2" x14ac:dyDescent="0.2">
      <c r="B78" s="21"/>
    </row>
    <row r="79" spans="2:2" x14ac:dyDescent="0.2">
      <c r="B79" s="21"/>
    </row>
    <row r="80" spans="2:2" x14ac:dyDescent="0.2">
      <c r="B80" s="21"/>
    </row>
    <row r="81" spans="2:2" x14ac:dyDescent="0.2">
      <c r="B81" s="21"/>
    </row>
    <row r="82" spans="2:2" x14ac:dyDescent="0.2">
      <c r="B82" s="21"/>
    </row>
    <row r="83" spans="2:2" x14ac:dyDescent="0.2">
      <c r="B83" s="21"/>
    </row>
    <row r="84" spans="2:2" x14ac:dyDescent="0.2">
      <c r="B84" s="21"/>
    </row>
    <row r="85" spans="2:2" x14ac:dyDescent="0.2">
      <c r="B85" s="21"/>
    </row>
    <row r="86" spans="2:2" x14ac:dyDescent="0.2">
      <c r="B86" s="21"/>
    </row>
    <row r="87" spans="2:2" x14ac:dyDescent="0.2">
      <c r="B87" s="21"/>
    </row>
    <row r="88" spans="2:2" x14ac:dyDescent="0.2">
      <c r="B88" s="21"/>
    </row>
    <row r="89" spans="2:2" x14ac:dyDescent="0.2">
      <c r="B89" s="21"/>
    </row>
    <row r="90" spans="2:2" x14ac:dyDescent="0.2">
      <c r="B90" s="21"/>
    </row>
    <row r="91" spans="2:2" x14ac:dyDescent="0.2">
      <c r="B91" s="21"/>
    </row>
    <row r="92" spans="2:2" x14ac:dyDescent="0.2">
      <c r="B92" s="21"/>
    </row>
    <row r="93" spans="2:2" x14ac:dyDescent="0.2">
      <c r="B93" s="21"/>
    </row>
    <row r="94" spans="2:2" x14ac:dyDescent="0.2">
      <c r="B94" s="21"/>
    </row>
    <row r="95" spans="2:2" x14ac:dyDescent="0.2">
      <c r="B95" s="21"/>
    </row>
    <row r="96" spans="2:2" x14ac:dyDescent="0.2">
      <c r="B96" s="21"/>
    </row>
    <row r="97" spans="2:2" x14ac:dyDescent="0.2">
      <c r="B97" s="21"/>
    </row>
    <row r="98" spans="2:2" x14ac:dyDescent="0.2">
      <c r="B98" s="21"/>
    </row>
    <row r="99" spans="2:2" x14ac:dyDescent="0.2">
      <c r="B99" s="21"/>
    </row>
    <row r="100" spans="2:2" x14ac:dyDescent="0.2">
      <c r="B100" s="21"/>
    </row>
    <row r="101" spans="2:2" x14ac:dyDescent="0.2">
      <c r="B101" s="21"/>
    </row>
    <row r="102" spans="2:2" x14ac:dyDescent="0.2">
      <c r="B102" s="21"/>
    </row>
    <row r="103" spans="2:2" x14ac:dyDescent="0.2">
      <c r="B103" s="21"/>
    </row>
    <row r="104" spans="2:2" x14ac:dyDescent="0.2">
      <c r="B104" s="21"/>
    </row>
    <row r="105" spans="2:2" x14ac:dyDescent="0.2">
      <c r="B105" s="21"/>
    </row>
    <row r="106" spans="2:2" x14ac:dyDescent="0.2">
      <c r="B106" s="21"/>
    </row>
    <row r="107" spans="2:2" x14ac:dyDescent="0.2">
      <c r="B107" s="21"/>
    </row>
    <row r="108" spans="2:2" x14ac:dyDescent="0.2">
      <c r="B108" s="21"/>
    </row>
    <row r="109" spans="2:2" x14ac:dyDescent="0.2">
      <c r="B109" s="21"/>
    </row>
    <row r="110" spans="2:2" x14ac:dyDescent="0.2">
      <c r="B110" s="21"/>
    </row>
    <row r="111" spans="2:2" x14ac:dyDescent="0.2">
      <c r="B111" s="21"/>
    </row>
    <row r="112" spans="2:2" x14ac:dyDescent="0.2">
      <c r="B112" s="21"/>
    </row>
    <row r="113" spans="2:2" x14ac:dyDescent="0.2">
      <c r="B113" s="21"/>
    </row>
    <row r="114" spans="2:2" x14ac:dyDescent="0.2">
      <c r="B114" s="21"/>
    </row>
    <row r="115" spans="2:2" x14ac:dyDescent="0.2">
      <c r="B115" s="21"/>
    </row>
    <row r="116" spans="2:2" x14ac:dyDescent="0.2">
      <c r="B116" s="21"/>
    </row>
    <row r="117" spans="2:2" x14ac:dyDescent="0.2">
      <c r="B117" s="21"/>
    </row>
    <row r="118" spans="2:2" x14ac:dyDescent="0.2">
      <c r="B118" s="21"/>
    </row>
    <row r="119" spans="2:2" x14ac:dyDescent="0.2">
      <c r="B119" s="21"/>
    </row>
    <row r="120" spans="2:2" x14ac:dyDescent="0.2">
      <c r="B120" s="21"/>
    </row>
    <row r="121" spans="2:2" x14ac:dyDescent="0.2">
      <c r="B121" s="21"/>
    </row>
    <row r="122" spans="2:2" x14ac:dyDescent="0.2">
      <c r="B122" s="21"/>
    </row>
    <row r="123" spans="2:2" x14ac:dyDescent="0.2">
      <c r="B123" s="21"/>
    </row>
    <row r="124" spans="2:2" x14ac:dyDescent="0.2">
      <c r="B124" s="21"/>
    </row>
    <row r="125" spans="2:2" x14ac:dyDescent="0.2">
      <c r="B125" s="21"/>
    </row>
    <row r="126" spans="2:2" x14ac:dyDescent="0.2">
      <c r="B126" s="21"/>
    </row>
    <row r="127" spans="2:2" x14ac:dyDescent="0.2">
      <c r="B127" s="21"/>
    </row>
    <row r="128" spans="2:2" x14ac:dyDescent="0.2">
      <c r="B128" s="21"/>
    </row>
    <row r="129" spans="2:2" x14ac:dyDescent="0.2">
      <c r="B129" s="21"/>
    </row>
  </sheetData>
  <pageMargins left="0.78740157499999996" right="0.78740157499999996" top="0.984251969" bottom="0.984251969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workbookViewId="0">
      <selection activeCell="C20" sqref="C20"/>
    </sheetView>
  </sheetViews>
  <sheetFormatPr defaultColWidth="11.42578125" defaultRowHeight="15" x14ac:dyDescent="0.2"/>
  <cols>
    <col min="1" max="1" width="37.140625" style="18" bestFit="1" customWidth="1"/>
    <col min="2" max="2" width="16.140625" style="18" bestFit="1" customWidth="1"/>
    <col min="3" max="3" width="33.42578125" style="18" bestFit="1" customWidth="1"/>
    <col min="4" max="4" width="9.140625" style="18" customWidth="1"/>
    <col min="5" max="5" width="27.28515625" style="18" bestFit="1" customWidth="1"/>
    <col min="6" max="252" width="9.140625" style="18" customWidth="1"/>
    <col min="253" max="16384" width="11.42578125" style="18"/>
  </cols>
  <sheetData>
    <row r="1" spans="1:5" ht="15.75" x14ac:dyDescent="0.25">
      <c r="A1" s="17" t="s">
        <v>0</v>
      </c>
      <c r="C1" s="17" t="s">
        <v>5</v>
      </c>
      <c r="E1" s="5" t="s">
        <v>121</v>
      </c>
    </row>
    <row r="2" spans="1:5" x14ac:dyDescent="0.2">
      <c r="A2" s="18" t="s">
        <v>32</v>
      </c>
      <c r="B2" s="19">
        <v>12</v>
      </c>
      <c r="C2" s="18" t="s">
        <v>122</v>
      </c>
      <c r="E2" s="19">
        <v>19</v>
      </c>
    </row>
    <row r="3" spans="1:5" x14ac:dyDescent="0.2">
      <c r="A3" s="18" t="s">
        <v>6</v>
      </c>
      <c r="B3" s="19">
        <v>12</v>
      </c>
      <c r="C3" s="18" t="s">
        <v>124</v>
      </c>
      <c r="D3" s="19">
        <v>10</v>
      </c>
      <c r="E3" s="19"/>
    </row>
    <row r="4" spans="1:5" x14ac:dyDescent="0.2">
      <c r="A4" s="18" t="s">
        <v>7</v>
      </c>
      <c r="B4" s="19">
        <v>1</v>
      </c>
      <c r="C4" s="18" t="s">
        <v>125</v>
      </c>
      <c r="E4" s="19">
        <v>30</v>
      </c>
    </row>
    <row r="5" spans="1:5" x14ac:dyDescent="0.2">
      <c r="A5" s="18" t="s">
        <v>8</v>
      </c>
      <c r="B5" s="19">
        <v>0.65</v>
      </c>
      <c r="C5" s="18" t="s">
        <v>127</v>
      </c>
      <c r="E5" s="19">
        <v>30</v>
      </c>
    </row>
    <row r="6" spans="1:5" x14ac:dyDescent="0.2">
      <c r="A6" s="18" t="s">
        <v>9</v>
      </c>
      <c r="B6" s="19">
        <v>3</v>
      </c>
      <c r="C6" s="18" t="s">
        <v>128</v>
      </c>
      <c r="E6" s="19">
        <v>30</v>
      </c>
    </row>
    <row r="7" spans="1:5" x14ac:dyDescent="0.2">
      <c r="A7" s="18" t="s">
        <v>129</v>
      </c>
      <c r="B7" s="19">
        <v>1.2</v>
      </c>
    </row>
    <row r="8" spans="1:5" x14ac:dyDescent="0.2">
      <c r="A8" s="18" t="s">
        <v>81</v>
      </c>
      <c r="B8" s="19">
        <v>1.08</v>
      </c>
      <c r="C8" s="20"/>
      <c r="D8" s="20"/>
    </row>
    <row r="10" spans="1:5" x14ac:dyDescent="0.2">
      <c r="A10" s="18" t="s">
        <v>10</v>
      </c>
      <c r="B10" s="19">
        <v>1</v>
      </c>
      <c r="C10" s="18" t="s">
        <v>12</v>
      </c>
      <c r="D10" s="21"/>
    </row>
    <row r="11" spans="1:5" x14ac:dyDescent="0.2">
      <c r="A11" s="18" t="s">
        <v>11</v>
      </c>
      <c r="B11" s="22">
        <f>(B10/100+1)^(1/30)</f>
        <v>1.0003317327062342</v>
      </c>
      <c r="C11" s="18" t="s">
        <v>13</v>
      </c>
      <c r="D11" s="23" t="e">
        <f>D25</f>
        <v>#DIV/0!</v>
      </c>
    </row>
    <row r="13" spans="1:5" ht="15.75" x14ac:dyDescent="0.25">
      <c r="B13" s="17" t="s">
        <v>14</v>
      </c>
      <c r="C13" s="17" t="s">
        <v>15</v>
      </c>
      <c r="D13" s="17" t="s">
        <v>16</v>
      </c>
    </row>
    <row r="14" spans="1:5" x14ac:dyDescent="0.2">
      <c r="A14" s="18" t="s">
        <v>4</v>
      </c>
      <c r="B14" s="23">
        <f>D2</f>
        <v>0</v>
      </c>
      <c r="C14" s="24">
        <f>D4</f>
        <v>0</v>
      </c>
      <c r="D14" s="23">
        <f t="shared" ref="D14:D23" si="0">B14/($B$11^C14)</f>
        <v>0</v>
      </c>
    </row>
    <row r="15" spans="1:5" x14ac:dyDescent="0.2">
      <c r="A15" s="18" t="s">
        <v>124</v>
      </c>
      <c r="B15" s="23">
        <f>-D3</f>
        <v>-10</v>
      </c>
      <c r="C15" s="24">
        <f>D5</f>
        <v>0</v>
      </c>
      <c r="D15" s="23">
        <f t="shared" si="0"/>
        <v>-10</v>
      </c>
    </row>
    <row r="16" spans="1:5" x14ac:dyDescent="0.2">
      <c r="A16" s="18" t="s">
        <v>1</v>
      </c>
      <c r="B16" s="23">
        <f>-B14*B4/100</f>
        <v>0</v>
      </c>
      <c r="C16" s="25"/>
      <c r="D16" s="23">
        <f t="shared" si="0"/>
        <v>0</v>
      </c>
    </row>
    <row r="17" spans="1:4" x14ac:dyDescent="0.2">
      <c r="A17" s="18" t="s">
        <v>33</v>
      </c>
      <c r="B17" s="23">
        <v>-0.42</v>
      </c>
      <c r="C17" s="25"/>
      <c r="D17" s="23">
        <f t="shared" si="0"/>
        <v>-0.42</v>
      </c>
    </row>
    <row r="18" spans="1:4" x14ac:dyDescent="0.2">
      <c r="A18" s="18" t="s">
        <v>31</v>
      </c>
      <c r="B18" s="23">
        <f>-B15*B2/100</f>
        <v>1.2</v>
      </c>
      <c r="C18" s="25"/>
      <c r="D18" s="23">
        <f t="shared" si="0"/>
        <v>1.2</v>
      </c>
    </row>
    <row r="19" spans="1:4" x14ac:dyDescent="0.2">
      <c r="A19" s="18" t="s">
        <v>17</v>
      </c>
      <c r="B19" s="23">
        <f>-B14*B3/100</f>
        <v>0</v>
      </c>
      <c r="C19" s="25"/>
      <c r="D19" s="23">
        <f t="shared" si="0"/>
        <v>0</v>
      </c>
    </row>
    <row r="20" spans="1:4" x14ac:dyDescent="0.2">
      <c r="A20" s="18" t="s">
        <v>2</v>
      </c>
      <c r="B20" s="23">
        <f>-B14*B5/100</f>
        <v>0</v>
      </c>
      <c r="C20" s="25"/>
      <c r="D20" s="23">
        <f t="shared" si="0"/>
        <v>0</v>
      </c>
    </row>
    <row r="21" spans="1:4" x14ac:dyDescent="0.2">
      <c r="A21" s="18" t="s">
        <v>3</v>
      </c>
      <c r="B21" s="23">
        <f>-B14*B6/100</f>
        <v>0</v>
      </c>
      <c r="C21" s="25"/>
      <c r="D21" s="23">
        <f t="shared" si="0"/>
        <v>0</v>
      </c>
    </row>
    <row r="22" spans="1:4" x14ac:dyDescent="0.2">
      <c r="A22" s="18" t="s">
        <v>18</v>
      </c>
      <c r="B22" s="23">
        <f>-B14*B7/100</f>
        <v>0</v>
      </c>
      <c r="C22" s="25"/>
      <c r="D22" s="23">
        <f t="shared" si="0"/>
        <v>0</v>
      </c>
    </row>
    <row r="23" spans="1:4" x14ac:dyDescent="0.2">
      <c r="A23" s="18" t="s">
        <v>80</v>
      </c>
      <c r="B23" s="23">
        <f>-B14*B8/100</f>
        <v>0</v>
      </c>
      <c r="D23" s="23">
        <f t="shared" si="0"/>
        <v>0</v>
      </c>
    </row>
    <row r="24" spans="1:4" x14ac:dyDescent="0.2">
      <c r="A24" s="18" t="s">
        <v>19</v>
      </c>
      <c r="B24" s="23">
        <f>SUM(B14:B23)</f>
        <v>-9.2200000000000006</v>
      </c>
      <c r="C24" s="21"/>
      <c r="D24" s="23">
        <f>SUM(D14:D23)</f>
        <v>-9.2200000000000006</v>
      </c>
    </row>
    <row r="25" spans="1:4" x14ac:dyDescent="0.2">
      <c r="A25" s="18" t="s">
        <v>20</v>
      </c>
      <c r="B25" s="24" t="e">
        <f>(B24/B14)*100</f>
        <v>#DIV/0!</v>
      </c>
      <c r="C25" s="21"/>
      <c r="D25" s="23" t="e">
        <f>(D24/D14)*100</f>
        <v>#DIV/0!</v>
      </c>
    </row>
    <row r="26" spans="1:4" x14ac:dyDescent="0.2">
      <c r="B26" s="25"/>
      <c r="C26" s="21"/>
      <c r="D26" s="21"/>
    </row>
    <row r="27" spans="1:4" ht="15.75" x14ac:dyDescent="0.25">
      <c r="A27" s="17" t="s">
        <v>21</v>
      </c>
      <c r="C27" s="21"/>
      <c r="D27" s="21"/>
    </row>
    <row r="28" spans="1:4" x14ac:dyDescent="0.2">
      <c r="A28" s="18" t="s">
        <v>29</v>
      </c>
      <c r="B28" s="23">
        <f>-(B14*C14)/30</f>
        <v>0</v>
      </c>
      <c r="C28" s="21"/>
      <c r="D28" s="21"/>
    </row>
    <row r="29" spans="1:4" x14ac:dyDescent="0.2">
      <c r="A29" s="18" t="s">
        <v>22</v>
      </c>
      <c r="B29" s="23">
        <f>(B15*D6)/30</f>
        <v>0</v>
      </c>
      <c r="C29" s="21"/>
      <c r="D29" s="21"/>
    </row>
    <row r="30" spans="1:4" x14ac:dyDescent="0.2">
      <c r="A30" s="18" t="s">
        <v>30</v>
      </c>
      <c r="B30" s="23">
        <f>-(B15*C15)/30</f>
        <v>0</v>
      </c>
      <c r="C30" s="21"/>
      <c r="D30" s="21"/>
    </row>
    <row r="31" spans="1:4" x14ac:dyDescent="0.2">
      <c r="A31" s="18" t="s">
        <v>23</v>
      </c>
      <c r="B31" s="23">
        <f>SUM(B28:B30)</f>
        <v>0</v>
      </c>
      <c r="C31" s="21"/>
      <c r="D31" s="21"/>
    </row>
    <row r="32" spans="1:4" x14ac:dyDescent="0.2">
      <c r="C32" s="21"/>
      <c r="D32" s="21"/>
    </row>
    <row r="33" spans="1:4" ht="15.75" x14ac:dyDescent="0.25">
      <c r="A33" s="5" t="s">
        <v>95</v>
      </c>
      <c r="B33" s="21"/>
      <c r="D33" s="21"/>
    </row>
    <row r="34" spans="1:4" ht="15.75" x14ac:dyDescent="0.25">
      <c r="A34" s="5" t="s">
        <v>96</v>
      </c>
      <c r="B34" s="6">
        <v>6500000</v>
      </c>
      <c r="D34" s="21"/>
    </row>
    <row r="35" spans="1:4" ht="15.75" x14ac:dyDescent="0.25">
      <c r="A35" s="5" t="s">
        <v>97</v>
      </c>
      <c r="B35" s="12">
        <v>0.14000000000000001</v>
      </c>
      <c r="D35" s="21"/>
    </row>
    <row r="36" spans="1:4" ht="15.75" x14ac:dyDescent="0.25">
      <c r="A36" s="5" t="s">
        <v>98</v>
      </c>
      <c r="B36" s="8">
        <f>B34*B35</f>
        <v>910000.00000000012</v>
      </c>
      <c r="D36" s="21"/>
    </row>
    <row r="37" spans="1:4" ht="15.75" x14ac:dyDescent="0.25">
      <c r="A37" s="5" t="s">
        <v>99</v>
      </c>
      <c r="B37" s="9">
        <v>1.4</v>
      </c>
      <c r="D37" s="21"/>
    </row>
    <row r="38" spans="1:4" ht="15.75" x14ac:dyDescent="0.25">
      <c r="A38" s="5" t="s">
        <v>100</v>
      </c>
      <c r="B38" s="8">
        <f>B36-(((B14/E2)-1)*B37)*B36</f>
        <v>2184000</v>
      </c>
      <c r="D38" s="21"/>
    </row>
    <row r="39" spans="1:4" ht="15.75" x14ac:dyDescent="0.25">
      <c r="A39" s="5"/>
      <c r="B39" s="8"/>
      <c r="D39" s="21"/>
    </row>
    <row r="40" spans="1:4" ht="15.75" x14ac:dyDescent="0.25">
      <c r="A40" s="5" t="s">
        <v>101</v>
      </c>
      <c r="B40" s="10">
        <f>B38/B34</f>
        <v>0.33600000000000002</v>
      </c>
      <c r="D40" s="21"/>
    </row>
    <row r="41" spans="1:4" ht="15.75" x14ac:dyDescent="0.25">
      <c r="A41" s="5" t="s">
        <v>102</v>
      </c>
      <c r="B41" s="8">
        <f>B38*D14</f>
        <v>0</v>
      </c>
      <c r="D41" s="21"/>
    </row>
    <row r="42" spans="1:4" ht="15.75" x14ac:dyDescent="0.25">
      <c r="A42" s="5" t="s">
        <v>103</v>
      </c>
      <c r="B42" s="8">
        <f>D24*B38</f>
        <v>-20136480</v>
      </c>
      <c r="D42" s="21"/>
    </row>
    <row r="43" spans="1:4" ht="15.75" x14ac:dyDescent="0.25">
      <c r="A43" s="5" t="s">
        <v>104</v>
      </c>
      <c r="B43" s="11">
        <f>B31*B38/12</f>
        <v>0</v>
      </c>
      <c r="D43" s="21"/>
    </row>
    <row r="44" spans="1:4" x14ac:dyDescent="0.2">
      <c r="B44" s="21"/>
      <c r="D44" s="21"/>
    </row>
    <row r="45" spans="1:4" x14ac:dyDescent="0.2">
      <c r="B45" s="21"/>
    </row>
    <row r="46" spans="1:4" x14ac:dyDescent="0.2">
      <c r="B46" s="21"/>
    </row>
    <row r="47" spans="1:4" x14ac:dyDescent="0.2">
      <c r="B47" s="21"/>
    </row>
    <row r="48" spans="1:4" x14ac:dyDescent="0.2">
      <c r="B48" s="21"/>
    </row>
    <row r="49" spans="2:2" x14ac:dyDescent="0.2">
      <c r="B49" s="21"/>
    </row>
    <row r="50" spans="2:2" x14ac:dyDescent="0.2">
      <c r="B50" s="21"/>
    </row>
    <row r="51" spans="2:2" x14ac:dyDescent="0.2">
      <c r="B51" s="21"/>
    </row>
    <row r="52" spans="2:2" x14ac:dyDescent="0.2">
      <c r="B52" s="21"/>
    </row>
    <row r="53" spans="2:2" x14ac:dyDescent="0.2">
      <c r="B53" s="21"/>
    </row>
    <row r="54" spans="2:2" x14ac:dyDescent="0.2">
      <c r="B54" s="21"/>
    </row>
    <row r="55" spans="2:2" x14ac:dyDescent="0.2">
      <c r="B55" s="21"/>
    </row>
    <row r="56" spans="2:2" x14ac:dyDescent="0.2">
      <c r="B56" s="21"/>
    </row>
    <row r="57" spans="2:2" x14ac:dyDescent="0.2">
      <c r="B57" s="21"/>
    </row>
    <row r="58" spans="2:2" x14ac:dyDescent="0.2">
      <c r="B58" s="21"/>
    </row>
    <row r="59" spans="2:2" x14ac:dyDescent="0.2">
      <c r="B59" s="21"/>
    </row>
    <row r="60" spans="2:2" x14ac:dyDescent="0.2">
      <c r="B60" s="21"/>
    </row>
    <row r="61" spans="2:2" x14ac:dyDescent="0.2">
      <c r="B61" s="21"/>
    </row>
    <row r="62" spans="2:2" x14ac:dyDescent="0.2">
      <c r="B62" s="21"/>
    </row>
    <row r="63" spans="2:2" x14ac:dyDescent="0.2">
      <c r="B63" s="21"/>
    </row>
    <row r="64" spans="2:2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  <row r="71" spans="2:2" x14ac:dyDescent="0.2">
      <c r="B71" s="21"/>
    </row>
    <row r="72" spans="2:2" x14ac:dyDescent="0.2">
      <c r="B72" s="21"/>
    </row>
    <row r="73" spans="2:2" x14ac:dyDescent="0.2">
      <c r="B73" s="21"/>
    </row>
    <row r="74" spans="2:2" x14ac:dyDescent="0.2">
      <c r="B74" s="21"/>
    </row>
    <row r="75" spans="2:2" x14ac:dyDescent="0.2">
      <c r="B75" s="21"/>
    </row>
    <row r="76" spans="2:2" x14ac:dyDescent="0.2">
      <c r="B76" s="21"/>
    </row>
    <row r="77" spans="2:2" x14ac:dyDescent="0.2">
      <c r="B77" s="21"/>
    </row>
    <row r="78" spans="2:2" x14ac:dyDescent="0.2">
      <c r="B78" s="21"/>
    </row>
    <row r="79" spans="2:2" x14ac:dyDescent="0.2">
      <c r="B79" s="21"/>
    </row>
    <row r="80" spans="2:2" x14ac:dyDescent="0.2">
      <c r="B80" s="21"/>
    </row>
    <row r="81" spans="2:2" x14ac:dyDescent="0.2">
      <c r="B81" s="21"/>
    </row>
    <row r="82" spans="2:2" x14ac:dyDescent="0.2">
      <c r="B82" s="21"/>
    </row>
    <row r="83" spans="2:2" x14ac:dyDescent="0.2">
      <c r="B83" s="21"/>
    </row>
    <row r="84" spans="2:2" x14ac:dyDescent="0.2">
      <c r="B84" s="21"/>
    </row>
    <row r="85" spans="2:2" x14ac:dyDescent="0.2">
      <c r="B85" s="21"/>
    </row>
    <row r="86" spans="2:2" x14ac:dyDescent="0.2">
      <c r="B86" s="21"/>
    </row>
    <row r="87" spans="2:2" x14ac:dyDescent="0.2">
      <c r="B87" s="21"/>
    </row>
    <row r="88" spans="2:2" x14ac:dyDescent="0.2">
      <c r="B88" s="21"/>
    </row>
    <row r="89" spans="2:2" x14ac:dyDescent="0.2">
      <c r="B89" s="21"/>
    </row>
    <row r="90" spans="2:2" x14ac:dyDescent="0.2">
      <c r="B90" s="21"/>
    </row>
    <row r="91" spans="2:2" x14ac:dyDescent="0.2">
      <c r="B91" s="21"/>
    </row>
    <row r="92" spans="2:2" x14ac:dyDescent="0.2">
      <c r="B92" s="21"/>
    </row>
    <row r="93" spans="2:2" x14ac:dyDescent="0.2">
      <c r="B93" s="21"/>
    </row>
    <row r="94" spans="2:2" x14ac:dyDescent="0.2">
      <c r="B94" s="21"/>
    </row>
    <row r="95" spans="2:2" x14ac:dyDescent="0.2">
      <c r="B95" s="21"/>
    </row>
    <row r="96" spans="2:2" x14ac:dyDescent="0.2">
      <c r="B96" s="21"/>
    </row>
    <row r="97" spans="2:2" x14ac:dyDescent="0.2">
      <c r="B97" s="21"/>
    </row>
    <row r="98" spans="2:2" x14ac:dyDescent="0.2">
      <c r="B98" s="21"/>
    </row>
    <row r="99" spans="2:2" x14ac:dyDescent="0.2">
      <c r="B99" s="21"/>
    </row>
    <row r="100" spans="2:2" x14ac:dyDescent="0.2">
      <c r="B100" s="21"/>
    </row>
    <row r="101" spans="2:2" x14ac:dyDescent="0.2">
      <c r="B101" s="21"/>
    </row>
    <row r="102" spans="2:2" x14ac:dyDescent="0.2">
      <c r="B102" s="21"/>
    </row>
    <row r="103" spans="2:2" x14ac:dyDescent="0.2">
      <c r="B103" s="21"/>
    </row>
    <row r="104" spans="2:2" x14ac:dyDescent="0.2">
      <c r="B104" s="21"/>
    </row>
    <row r="105" spans="2:2" x14ac:dyDescent="0.2">
      <c r="B105" s="21"/>
    </row>
    <row r="106" spans="2:2" x14ac:dyDescent="0.2">
      <c r="B106" s="21"/>
    </row>
    <row r="107" spans="2:2" x14ac:dyDescent="0.2">
      <c r="B107" s="21"/>
    </row>
    <row r="108" spans="2:2" x14ac:dyDescent="0.2">
      <c r="B108" s="21"/>
    </row>
    <row r="109" spans="2:2" x14ac:dyDescent="0.2">
      <c r="B109" s="21"/>
    </row>
    <row r="110" spans="2:2" x14ac:dyDescent="0.2">
      <c r="B110" s="21"/>
    </row>
    <row r="111" spans="2:2" x14ac:dyDescent="0.2">
      <c r="B111" s="21"/>
    </row>
    <row r="112" spans="2:2" x14ac:dyDescent="0.2">
      <c r="B112" s="21"/>
    </row>
    <row r="113" spans="2:2" x14ac:dyDescent="0.2">
      <c r="B113" s="21"/>
    </row>
    <row r="114" spans="2:2" x14ac:dyDescent="0.2">
      <c r="B114" s="21"/>
    </row>
    <row r="115" spans="2:2" x14ac:dyDescent="0.2">
      <c r="B115" s="21"/>
    </row>
    <row r="116" spans="2:2" x14ac:dyDescent="0.2">
      <c r="B116" s="21"/>
    </row>
    <row r="117" spans="2:2" x14ac:dyDescent="0.2">
      <c r="B117" s="21"/>
    </row>
    <row r="118" spans="2:2" x14ac:dyDescent="0.2">
      <c r="B118" s="21"/>
    </row>
    <row r="119" spans="2:2" x14ac:dyDescent="0.2">
      <c r="B119" s="21"/>
    </row>
    <row r="120" spans="2:2" x14ac:dyDescent="0.2">
      <c r="B120" s="21"/>
    </row>
    <row r="121" spans="2:2" x14ac:dyDescent="0.2">
      <c r="B121" s="21"/>
    </row>
    <row r="122" spans="2:2" x14ac:dyDescent="0.2">
      <c r="B122" s="21"/>
    </row>
    <row r="123" spans="2:2" x14ac:dyDescent="0.2">
      <c r="B123" s="21"/>
    </row>
    <row r="124" spans="2:2" x14ac:dyDescent="0.2">
      <c r="B124" s="21"/>
    </row>
    <row r="125" spans="2:2" x14ac:dyDescent="0.2">
      <c r="B125" s="21"/>
    </row>
    <row r="126" spans="2:2" x14ac:dyDescent="0.2">
      <c r="B126" s="21"/>
    </row>
    <row r="127" spans="2:2" x14ac:dyDescent="0.2">
      <c r="B127" s="21"/>
    </row>
    <row r="128" spans="2:2" x14ac:dyDescent="0.2">
      <c r="B128" s="21"/>
    </row>
    <row r="129" spans="2:2" x14ac:dyDescent="0.2">
      <c r="B129" s="21"/>
    </row>
  </sheetData>
  <pageMargins left="0.78740157499999996" right="0.78740157499999996" top="0.984251969" bottom="0.984251969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9"/>
  <sheetViews>
    <sheetView tabSelected="1" workbookViewId="0">
      <selection activeCell="H15" sqref="H14:H15"/>
    </sheetView>
  </sheetViews>
  <sheetFormatPr defaultColWidth="11.42578125" defaultRowHeight="15" x14ac:dyDescent="0.2"/>
  <cols>
    <col min="1" max="1" width="37.140625" style="26" bestFit="1" customWidth="1"/>
    <col min="2" max="2" width="13.7109375" style="26" bestFit="1" customWidth="1"/>
    <col min="3" max="3" width="23.5703125" style="18" bestFit="1" customWidth="1"/>
    <col min="4" max="4" width="8.28515625" style="26" bestFit="1" customWidth="1"/>
    <col min="5" max="5" width="27.28515625" style="26" bestFit="1" customWidth="1"/>
    <col min="6" max="252" width="9.140625" style="26" customWidth="1"/>
    <col min="253" max="16384" width="11.42578125" style="26"/>
  </cols>
  <sheetData>
    <row r="1" spans="1:5" ht="15.75" x14ac:dyDescent="0.25">
      <c r="A1" s="17" t="s">
        <v>0</v>
      </c>
      <c r="B1" s="18"/>
      <c r="C1" s="17" t="s">
        <v>5</v>
      </c>
      <c r="E1" s="5" t="s">
        <v>121</v>
      </c>
    </row>
    <row r="2" spans="1:5" x14ac:dyDescent="0.2">
      <c r="A2" s="26" t="s">
        <v>32</v>
      </c>
      <c r="B2" s="27">
        <v>18</v>
      </c>
      <c r="C2" s="18" t="s">
        <v>122</v>
      </c>
      <c r="E2" s="19" t="s">
        <v>130</v>
      </c>
    </row>
    <row r="3" spans="1:5" x14ac:dyDescent="0.2">
      <c r="A3" s="26" t="s">
        <v>6</v>
      </c>
      <c r="B3" s="27">
        <v>18</v>
      </c>
      <c r="C3" s="18" t="s">
        <v>124</v>
      </c>
      <c r="D3" s="16" t="str">
        <f>IF(D2&gt;17,"12",IF(D2&lt;=17,"10"))</f>
        <v>10</v>
      </c>
      <c r="E3" s="19"/>
    </row>
    <row r="4" spans="1:5" x14ac:dyDescent="0.2">
      <c r="A4" s="26" t="s">
        <v>7</v>
      </c>
      <c r="B4" s="27">
        <v>1</v>
      </c>
      <c r="C4" s="18" t="s">
        <v>125</v>
      </c>
      <c r="E4" s="19">
        <v>30</v>
      </c>
    </row>
    <row r="5" spans="1:5" x14ac:dyDescent="0.2">
      <c r="A5" s="26" t="s">
        <v>8</v>
      </c>
      <c r="B5" s="27">
        <v>0.65</v>
      </c>
      <c r="C5" s="18" t="s">
        <v>127</v>
      </c>
      <c r="E5" s="19">
        <v>30</v>
      </c>
    </row>
    <row r="6" spans="1:5" x14ac:dyDescent="0.2">
      <c r="A6" s="26" t="s">
        <v>9</v>
      </c>
      <c r="B6" s="27">
        <v>3</v>
      </c>
      <c r="C6" s="18" t="s">
        <v>128</v>
      </c>
      <c r="E6" s="19">
        <v>30</v>
      </c>
    </row>
    <row r="7" spans="1:5" x14ac:dyDescent="0.2">
      <c r="A7" s="26" t="s">
        <v>129</v>
      </c>
      <c r="B7" s="27">
        <v>1.2</v>
      </c>
    </row>
    <row r="8" spans="1:5" x14ac:dyDescent="0.2">
      <c r="A8" s="26" t="s">
        <v>81</v>
      </c>
      <c r="B8" s="27">
        <v>1.08</v>
      </c>
      <c r="C8" s="20"/>
      <c r="D8" s="28"/>
    </row>
    <row r="10" spans="1:5" x14ac:dyDescent="0.2">
      <c r="A10" s="26" t="s">
        <v>10</v>
      </c>
      <c r="B10" s="27">
        <v>1</v>
      </c>
      <c r="C10" s="18" t="s">
        <v>12</v>
      </c>
      <c r="D10" s="29"/>
    </row>
    <row r="11" spans="1:5" x14ac:dyDescent="0.2">
      <c r="A11" s="26" t="s">
        <v>11</v>
      </c>
      <c r="B11" s="30">
        <f>(B10/100+1)^(1/30)</f>
        <v>1.0003317327062342</v>
      </c>
      <c r="C11" s="18" t="s">
        <v>13</v>
      </c>
      <c r="D11" s="31" t="e">
        <f>D25</f>
        <v>#DIV/0!</v>
      </c>
    </row>
    <row r="12" spans="1:5" x14ac:dyDescent="0.2">
      <c r="A12" s="18"/>
      <c r="B12" s="18"/>
      <c r="E12" s="18"/>
    </row>
    <row r="13" spans="1:5" ht="15.75" x14ac:dyDescent="0.25">
      <c r="A13" s="18"/>
      <c r="B13" s="17" t="s">
        <v>14</v>
      </c>
      <c r="C13" s="17" t="s">
        <v>15</v>
      </c>
      <c r="D13" s="17" t="s">
        <v>16</v>
      </c>
      <c r="E13" s="18"/>
    </row>
    <row r="14" spans="1:5" x14ac:dyDescent="0.2">
      <c r="A14" s="18" t="s">
        <v>4</v>
      </c>
      <c r="B14" s="23">
        <f>D2</f>
        <v>0</v>
      </c>
      <c r="C14" s="24">
        <f>D4</f>
        <v>0</v>
      </c>
      <c r="D14" s="23">
        <f t="shared" ref="D14:D23" si="0">B14/($B$11^C14)</f>
        <v>0</v>
      </c>
      <c r="E14" s="18"/>
    </row>
    <row r="15" spans="1:5" x14ac:dyDescent="0.2">
      <c r="A15" s="18" t="s">
        <v>124</v>
      </c>
      <c r="B15" s="23">
        <f>-D3</f>
        <v>-10</v>
      </c>
      <c r="C15" s="24">
        <f>D5</f>
        <v>0</v>
      </c>
      <c r="D15" s="23">
        <f t="shared" si="0"/>
        <v>-10</v>
      </c>
      <c r="E15" s="18"/>
    </row>
    <row r="16" spans="1:5" x14ac:dyDescent="0.2">
      <c r="A16" s="18" t="s">
        <v>1</v>
      </c>
      <c r="B16" s="23">
        <f>-B14*B4/100</f>
        <v>0</v>
      </c>
      <c r="C16" s="25"/>
      <c r="D16" s="23">
        <f t="shared" si="0"/>
        <v>0</v>
      </c>
      <c r="E16" s="18"/>
    </row>
    <row r="17" spans="1:5" x14ac:dyDescent="0.2">
      <c r="A17" s="18" t="s">
        <v>33</v>
      </c>
      <c r="B17" s="23">
        <v>-0.42</v>
      </c>
      <c r="C17" s="25"/>
      <c r="D17" s="23">
        <f t="shared" si="0"/>
        <v>-0.42</v>
      </c>
      <c r="E17" s="18"/>
    </row>
    <row r="18" spans="1:5" x14ac:dyDescent="0.2">
      <c r="A18" s="18" t="s">
        <v>31</v>
      </c>
      <c r="B18" s="23">
        <f>-B15*B2/100</f>
        <v>1.8</v>
      </c>
      <c r="C18" s="25"/>
      <c r="D18" s="23">
        <f t="shared" si="0"/>
        <v>1.8</v>
      </c>
      <c r="E18" s="18"/>
    </row>
    <row r="19" spans="1:5" x14ac:dyDescent="0.2">
      <c r="A19" s="18" t="s">
        <v>17</v>
      </c>
      <c r="B19" s="23">
        <f>-B14*B3/100</f>
        <v>0</v>
      </c>
      <c r="C19" s="25"/>
      <c r="D19" s="23">
        <f t="shared" si="0"/>
        <v>0</v>
      </c>
      <c r="E19" s="18"/>
    </row>
    <row r="20" spans="1:5" x14ac:dyDescent="0.2">
      <c r="A20" s="18" t="s">
        <v>2</v>
      </c>
      <c r="B20" s="23">
        <f>-B14*B5/100</f>
        <v>0</v>
      </c>
      <c r="C20" s="25"/>
      <c r="D20" s="23">
        <f t="shared" si="0"/>
        <v>0</v>
      </c>
      <c r="E20" s="18"/>
    </row>
    <row r="21" spans="1:5" x14ac:dyDescent="0.2">
      <c r="A21" s="18" t="s">
        <v>3</v>
      </c>
      <c r="B21" s="23">
        <f>-B14*B6/100</f>
        <v>0</v>
      </c>
      <c r="C21" s="25"/>
      <c r="D21" s="23">
        <f t="shared" si="0"/>
        <v>0</v>
      </c>
      <c r="E21" s="18"/>
    </row>
    <row r="22" spans="1:5" x14ac:dyDescent="0.2">
      <c r="A22" s="18" t="s">
        <v>18</v>
      </c>
      <c r="B22" s="23">
        <f>-B14*B7/100</f>
        <v>0</v>
      </c>
      <c r="C22" s="25"/>
      <c r="D22" s="23">
        <f t="shared" si="0"/>
        <v>0</v>
      </c>
      <c r="E22" s="18"/>
    </row>
    <row r="23" spans="1:5" x14ac:dyDescent="0.2">
      <c r="A23" s="18" t="s">
        <v>80</v>
      </c>
      <c r="B23" s="23">
        <f>-B14*B8/100</f>
        <v>0</v>
      </c>
      <c r="D23" s="23">
        <f t="shared" si="0"/>
        <v>0</v>
      </c>
    </row>
    <row r="24" spans="1:5" x14ac:dyDescent="0.2">
      <c r="A24" s="18" t="s">
        <v>19</v>
      </c>
      <c r="B24" s="23">
        <f>SUM(B14:B23)</f>
        <v>-8.6199999999999992</v>
      </c>
      <c r="C24" s="21"/>
      <c r="D24" s="23">
        <f>SUM(D14:D23)</f>
        <v>-8.6199999999999992</v>
      </c>
      <c r="E24" s="18"/>
    </row>
    <row r="25" spans="1:5" x14ac:dyDescent="0.2">
      <c r="A25" s="18" t="s">
        <v>20</v>
      </c>
      <c r="B25" s="24" t="e">
        <f>(B24/B14)*100</f>
        <v>#DIV/0!</v>
      </c>
      <c r="C25" s="21"/>
      <c r="D25" s="23" t="e">
        <f>(D24/D14)*100</f>
        <v>#DIV/0!</v>
      </c>
      <c r="E25" s="18"/>
    </row>
    <row r="26" spans="1:5" x14ac:dyDescent="0.2">
      <c r="A26" s="18"/>
      <c r="B26" s="25"/>
      <c r="C26" s="21"/>
      <c r="D26" s="21"/>
      <c r="E26" s="18"/>
    </row>
    <row r="27" spans="1:5" ht="15.75" x14ac:dyDescent="0.25">
      <c r="A27" s="17" t="s">
        <v>21</v>
      </c>
      <c r="B27" s="18"/>
      <c r="C27" s="21"/>
      <c r="D27" s="21"/>
      <c r="E27" s="18"/>
    </row>
    <row r="28" spans="1:5" x14ac:dyDescent="0.2">
      <c r="A28" s="18" t="s">
        <v>29</v>
      </c>
      <c r="B28" s="23">
        <f>-(B14*C14)/30</f>
        <v>0</v>
      </c>
      <c r="C28" s="21"/>
      <c r="D28" s="21"/>
      <c r="E28" s="18"/>
    </row>
    <row r="29" spans="1:5" x14ac:dyDescent="0.2">
      <c r="A29" s="18" t="s">
        <v>22</v>
      </c>
      <c r="B29" s="23">
        <f>(B15*D6)/30</f>
        <v>0</v>
      </c>
      <c r="C29" s="21"/>
      <c r="D29" s="21"/>
      <c r="E29" s="18"/>
    </row>
    <row r="30" spans="1:5" x14ac:dyDescent="0.2">
      <c r="A30" s="18" t="s">
        <v>30</v>
      </c>
      <c r="B30" s="23">
        <f>-(B15*C15)/30</f>
        <v>0</v>
      </c>
      <c r="C30" s="21"/>
      <c r="D30" s="21"/>
      <c r="E30" s="18"/>
    </row>
    <row r="31" spans="1:5" x14ac:dyDescent="0.2">
      <c r="A31" s="18" t="s">
        <v>23</v>
      </c>
      <c r="B31" s="23">
        <f>SUM(B28:B30)</f>
        <v>0</v>
      </c>
      <c r="C31" s="21"/>
      <c r="D31" s="21"/>
      <c r="E31" s="18"/>
    </row>
    <row r="32" spans="1:5" x14ac:dyDescent="0.2">
      <c r="A32" s="18"/>
      <c r="B32" s="18"/>
      <c r="C32" s="21"/>
      <c r="D32" s="21"/>
      <c r="E32" s="18"/>
    </row>
    <row r="33" spans="1:5" ht="15.75" x14ac:dyDescent="0.25">
      <c r="A33" s="5" t="s">
        <v>95</v>
      </c>
      <c r="B33" s="21"/>
      <c r="D33" s="21"/>
      <c r="E33" s="18"/>
    </row>
    <row r="34" spans="1:5" ht="15.75" x14ac:dyDescent="0.25">
      <c r="A34" s="5" t="s">
        <v>96</v>
      </c>
      <c r="B34" s="6">
        <v>3000000</v>
      </c>
      <c r="D34" s="21"/>
      <c r="E34" s="18"/>
    </row>
    <row r="35" spans="1:5" ht="15.75" x14ac:dyDescent="0.25">
      <c r="A35" s="5" t="s">
        <v>131</v>
      </c>
      <c r="B35" s="13">
        <v>0.05</v>
      </c>
      <c r="D35" s="21"/>
      <c r="E35" s="18"/>
    </row>
    <row r="36" spans="1:5" ht="15.75" x14ac:dyDescent="0.25">
      <c r="A36" s="5" t="s">
        <v>132</v>
      </c>
      <c r="B36" s="8">
        <f>B34*B35</f>
        <v>150000</v>
      </c>
      <c r="D36" s="21"/>
      <c r="E36" s="18"/>
    </row>
    <row r="37" spans="1:5" ht="15.75" x14ac:dyDescent="0.25">
      <c r="A37" s="5" t="s">
        <v>99</v>
      </c>
      <c r="B37" s="32">
        <f>IF(B14&lt;14,2,IF(B14&gt;17,1.5,0))</f>
        <v>2</v>
      </c>
      <c r="D37" s="21"/>
      <c r="E37" s="18"/>
    </row>
    <row r="38" spans="1:5" ht="15.75" x14ac:dyDescent="0.25">
      <c r="A38" s="5" t="s">
        <v>100</v>
      </c>
      <c r="B38" s="8">
        <f>IF(B37&gt;0,B36-(((B14/18.53)-1)*B37)*B36,10000)</f>
        <v>450000</v>
      </c>
      <c r="D38" s="21"/>
      <c r="E38" s="18"/>
    </row>
    <row r="39" spans="1:5" ht="15.75" x14ac:dyDescent="0.25">
      <c r="A39" s="5"/>
      <c r="B39" s="8"/>
      <c r="D39" s="21"/>
      <c r="E39" s="18"/>
    </row>
    <row r="40" spans="1:5" ht="15.75" x14ac:dyDescent="0.25">
      <c r="A40" s="5" t="s">
        <v>101</v>
      </c>
      <c r="B40" s="12">
        <f>B38/B34</f>
        <v>0.15</v>
      </c>
      <c r="D40" s="21"/>
      <c r="E40" s="18"/>
    </row>
    <row r="41" spans="1:5" ht="15.75" x14ac:dyDescent="0.25">
      <c r="A41" s="5" t="s">
        <v>102</v>
      </c>
      <c r="B41" s="14">
        <f>B38*D14</f>
        <v>0</v>
      </c>
      <c r="D41" s="21"/>
      <c r="E41" s="18"/>
    </row>
    <row r="42" spans="1:5" ht="15.75" x14ac:dyDescent="0.25">
      <c r="A42" s="5" t="s">
        <v>103</v>
      </c>
      <c r="B42" s="14">
        <f>D24*B38</f>
        <v>-3878999.9999999995</v>
      </c>
      <c r="D42" s="21"/>
      <c r="E42" s="18"/>
    </row>
    <row r="43" spans="1:5" ht="15.75" x14ac:dyDescent="0.25">
      <c r="A43" s="5" t="s">
        <v>104</v>
      </c>
      <c r="B43" s="11">
        <f>B31*B38/12</f>
        <v>0</v>
      </c>
      <c r="D43" s="21"/>
      <c r="E43" s="18"/>
    </row>
    <row r="44" spans="1:5" x14ac:dyDescent="0.2">
      <c r="A44" s="18"/>
      <c r="B44" s="21"/>
      <c r="D44" s="21"/>
      <c r="E44" s="18"/>
    </row>
    <row r="45" spans="1:5" x14ac:dyDescent="0.2">
      <c r="B45" s="21"/>
    </row>
    <row r="46" spans="1:5" x14ac:dyDescent="0.2">
      <c r="B46" s="21"/>
    </row>
    <row r="47" spans="1:5" x14ac:dyDescent="0.2">
      <c r="B47" s="21"/>
    </row>
    <row r="48" spans="1:5" x14ac:dyDescent="0.2">
      <c r="B48" s="21"/>
    </row>
    <row r="49" spans="2:3" x14ac:dyDescent="0.2">
      <c r="B49" s="21"/>
      <c r="C49" s="26"/>
    </row>
    <row r="50" spans="2:3" x14ac:dyDescent="0.2">
      <c r="B50" s="21"/>
      <c r="C50" s="26"/>
    </row>
    <row r="51" spans="2:3" x14ac:dyDescent="0.2">
      <c r="B51" s="21"/>
      <c r="C51" s="26"/>
    </row>
    <row r="52" spans="2:3" x14ac:dyDescent="0.2">
      <c r="B52" s="21"/>
      <c r="C52" s="26"/>
    </row>
    <row r="53" spans="2:3" x14ac:dyDescent="0.2">
      <c r="B53" s="21"/>
      <c r="C53" s="26"/>
    </row>
    <row r="54" spans="2:3" x14ac:dyDescent="0.2">
      <c r="B54" s="21"/>
      <c r="C54" s="26"/>
    </row>
    <row r="55" spans="2:3" x14ac:dyDescent="0.2">
      <c r="B55" s="21"/>
      <c r="C55" s="26"/>
    </row>
    <row r="56" spans="2:3" x14ac:dyDescent="0.2">
      <c r="B56" s="21"/>
      <c r="C56" s="26"/>
    </row>
    <row r="57" spans="2:3" x14ac:dyDescent="0.2">
      <c r="B57" s="21"/>
      <c r="C57" s="26"/>
    </row>
    <row r="58" spans="2:3" x14ac:dyDescent="0.2">
      <c r="B58" s="21"/>
      <c r="C58" s="26"/>
    </row>
    <row r="59" spans="2:3" x14ac:dyDescent="0.2">
      <c r="B59" s="21"/>
      <c r="C59" s="26"/>
    </row>
    <row r="60" spans="2:3" x14ac:dyDescent="0.2">
      <c r="B60" s="21"/>
      <c r="C60" s="26"/>
    </row>
    <row r="61" spans="2:3" x14ac:dyDescent="0.2">
      <c r="B61" s="21"/>
      <c r="C61" s="26"/>
    </row>
    <row r="62" spans="2:3" x14ac:dyDescent="0.2">
      <c r="B62" s="21"/>
      <c r="C62" s="26"/>
    </row>
    <row r="63" spans="2:3" x14ac:dyDescent="0.2">
      <c r="B63" s="21"/>
      <c r="C63" s="26"/>
    </row>
    <row r="64" spans="2:3" x14ac:dyDescent="0.2">
      <c r="B64" s="21"/>
      <c r="C64" s="26"/>
    </row>
    <row r="65" spans="2:3" x14ac:dyDescent="0.2">
      <c r="B65" s="21"/>
      <c r="C65" s="26"/>
    </row>
    <row r="66" spans="2:3" x14ac:dyDescent="0.2">
      <c r="B66" s="21"/>
      <c r="C66" s="26"/>
    </row>
    <row r="67" spans="2:3" x14ac:dyDescent="0.2">
      <c r="B67" s="21"/>
      <c r="C67" s="26"/>
    </row>
    <row r="68" spans="2:3" x14ac:dyDescent="0.2">
      <c r="B68" s="21"/>
      <c r="C68" s="26"/>
    </row>
    <row r="69" spans="2:3" x14ac:dyDescent="0.2">
      <c r="B69" s="21"/>
      <c r="C69" s="26"/>
    </row>
    <row r="70" spans="2:3" x14ac:dyDescent="0.2">
      <c r="B70" s="21"/>
      <c r="C70" s="26"/>
    </row>
    <row r="71" spans="2:3" x14ac:dyDescent="0.2">
      <c r="B71" s="21"/>
      <c r="C71" s="26"/>
    </row>
    <row r="72" spans="2:3" x14ac:dyDescent="0.2">
      <c r="B72" s="21"/>
      <c r="C72" s="26"/>
    </row>
    <row r="73" spans="2:3" x14ac:dyDescent="0.2">
      <c r="B73" s="21"/>
      <c r="C73" s="26"/>
    </row>
    <row r="74" spans="2:3" x14ac:dyDescent="0.2">
      <c r="B74" s="29"/>
      <c r="C74" s="26"/>
    </row>
    <row r="75" spans="2:3" x14ac:dyDescent="0.2">
      <c r="B75" s="29"/>
      <c r="C75" s="26"/>
    </row>
    <row r="76" spans="2:3" x14ac:dyDescent="0.2">
      <c r="B76" s="29"/>
      <c r="C76" s="26"/>
    </row>
    <row r="77" spans="2:3" x14ac:dyDescent="0.2">
      <c r="B77" s="29"/>
      <c r="C77" s="26"/>
    </row>
    <row r="78" spans="2:3" x14ac:dyDescent="0.2">
      <c r="B78" s="29"/>
      <c r="C78" s="26"/>
    </row>
    <row r="79" spans="2:3" x14ac:dyDescent="0.2">
      <c r="B79" s="29"/>
      <c r="C79" s="26"/>
    </row>
    <row r="80" spans="2:3" x14ac:dyDescent="0.2">
      <c r="B80" s="29"/>
      <c r="C80" s="26"/>
    </row>
    <row r="81" spans="2:2" s="26" customFormat="1" x14ac:dyDescent="0.2">
      <c r="B81" s="29"/>
    </row>
    <row r="82" spans="2:2" s="26" customFormat="1" x14ac:dyDescent="0.2">
      <c r="B82" s="29"/>
    </row>
    <row r="83" spans="2:2" s="26" customFormat="1" x14ac:dyDescent="0.2">
      <c r="B83" s="29"/>
    </row>
    <row r="84" spans="2:2" s="26" customFormat="1" x14ac:dyDescent="0.2">
      <c r="B84" s="29"/>
    </row>
    <row r="85" spans="2:2" s="26" customFormat="1" x14ac:dyDescent="0.2">
      <c r="B85" s="29"/>
    </row>
    <row r="86" spans="2:2" s="26" customFormat="1" x14ac:dyDescent="0.2">
      <c r="B86" s="29"/>
    </row>
    <row r="87" spans="2:2" s="26" customFormat="1" x14ac:dyDescent="0.2">
      <c r="B87" s="29"/>
    </row>
    <row r="88" spans="2:2" s="26" customFormat="1" x14ac:dyDescent="0.2">
      <c r="B88" s="29"/>
    </row>
    <row r="89" spans="2:2" s="26" customFormat="1" x14ac:dyDescent="0.2">
      <c r="B89" s="29"/>
    </row>
    <row r="90" spans="2:2" s="26" customFormat="1" x14ac:dyDescent="0.2">
      <c r="B90" s="29"/>
    </row>
    <row r="91" spans="2:2" s="26" customFormat="1" x14ac:dyDescent="0.2">
      <c r="B91" s="29"/>
    </row>
    <row r="92" spans="2:2" s="26" customFormat="1" x14ac:dyDescent="0.2">
      <c r="B92" s="29"/>
    </row>
    <row r="93" spans="2:2" s="26" customFormat="1" x14ac:dyDescent="0.2">
      <c r="B93" s="29"/>
    </row>
    <row r="94" spans="2:2" s="26" customFormat="1" x14ac:dyDescent="0.2">
      <c r="B94" s="29"/>
    </row>
    <row r="95" spans="2:2" s="26" customFormat="1" x14ac:dyDescent="0.2">
      <c r="B95" s="29"/>
    </row>
    <row r="96" spans="2:2" s="26" customFormat="1" x14ac:dyDescent="0.2">
      <c r="B96" s="29"/>
    </row>
    <row r="97" spans="2:2" s="26" customFormat="1" x14ac:dyDescent="0.2">
      <c r="B97" s="29"/>
    </row>
    <row r="98" spans="2:2" s="26" customFormat="1" x14ac:dyDescent="0.2">
      <c r="B98" s="29"/>
    </row>
    <row r="99" spans="2:2" s="26" customFormat="1" x14ac:dyDescent="0.2">
      <c r="B99" s="29"/>
    </row>
    <row r="100" spans="2:2" s="26" customFormat="1" x14ac:dyDescent="0.2">
      <c r="B100" s="29"/>
    </row>
    <row r="101" spans="2:2" s="26" customFormat="1" x14ac:dyDescent="0.2">
      <c r="B101" s="29"/>
    </row>
    <row r="102" spans="2:2" s="26" customFormat="1" x14ac:dyDescent="0.2">
      <c r="B102" s="29"/>
    </row>
    <row r="103" spans="2:2" s="26" customFormat="1" x14ac:dyDescent="0.2">
      <c r="B103" s="29"/>
    </row>
    <row r="104" spans="2:2" s="26" customFormat="1" x14ac:dyDescent="0.2">
      <c r="B104" s="29"/>
    </row>
    <row r="105" spans="2:2" s="26" customFormat="1" x14ac:dyDescent="0.2">
      <c r="B105" s="29"/>
    </row>
    <row r="106" spans="2:2" s="26" customFormat="1" x14ac:dyDescent="0.2">
      <c r="B106" s="29"/>
    </row>
    <row r="107" spans="2:2" s="26" customFormat="1" x14ac:dyDescent="0.2">
      <c r="B107" s="29"/>
    </row>
    <row r="108" spans="2:2" s="26" customFormat="1" x14ac:dyDescent="0.2">
      <c r="B108" s="29"/>
    </row>
    <row r="109" spans="2:2" s="26" customFormat="1" x14ac:dyDescent="0.2">
      <c r="B109" s="29"/>
    </row>
    <row r="110" spans="2:2" s="26" customFormat="1" x14ac:dyDescent="0.2">
      <c r="B110" s="29"/>
    </row>
    <row r="111" spans="2:2" s="26" customFormat="1" x14ac:dyDescent="0.2">
      <c r="B111" s="29"/>
    </row>
    <row r="112" spans="2:2" s="26" customFormat="1" x14ac:dyDescent="0.2">
      <c r="B112" s="29"/>
    </row>
    <row r="113" spans="2:2" s="26" customFormat="1" x14ac:dyDescent="0.2">
      <c r="B113" s="29"/>
    </row>
    <row r="114" spans="2:2" s="26" customFormat="1" x14ac:dyDescent="0.2">
      <c r="B114" s="29"/>
    </row>
    <row r="115" spans="2:2" s="26" customFormat="1" x14ac:dyDescent="0.2">
      <c r="B115" s="29"/>
    </row>
    <row r="116" spans="2:2" s="26" customFormat="1" x14ac:dyDescent="0.2">
      <c r="B116" s="29"/>
    </row>
    <row r="117" spans="2:2" s="26" customFormat="1" x14ac:dyDescent="0.2">
      <c r="B117" s="29"/>
    </row>
    <row r="118" spans="2:2" s="26" customFormat="1" x14ac:dyDescent="0.2">
      <c r="B118" s="29"/>
    </row>
    <row r="119" spans="2:2" s="26" customFormat="1" x14ac:dyDescent="0.2">
      <c r="B119" s="29"/>
    </row>
    <row r="120" spans="2:2" s="26" customFormat="1" x14ac:dyDescent="0.2">
      <c r="B120" s="29"/>
    </row>
    <row r="121" spans="2:2" s="26" customFormat="1" x14ac:dyDescent="0.2">
      <c r="B121" s="29"/>
    </row>
    <row r="122" spans="2:2" s="26" customFormat="1" x14ac:dyDescent="0.2">
      <c r="B122" s="29"/>
    </row>
    <row r="123" spans="2:2" s="26" customFormat="1" x14ac:dyDescent="0.2">
      <c r="B123" s="29"/>
    </row>
    <row r="124" spans="2:2" s="26" customFormat="1" x14ac:dyDescent="0.2">
      <c r="B124" s="29"/>
    </row>
    <row r="125" spans="2:2" s="26" customFormat="1" x14ac:dyDescent="0.2">
      <c r="B125" s="29"/>
    </row>
    <row r="126" spans="2:2" s="26" customFormat="1" x14ac:dyDescent="0.2">
      <c r="B126" s="29"/>
    </row>
    <row r="127" spans="2:2" s="26" customFormat="1" x14ac:dyDescent="0.2">
      <c r="B127" s="29"/>
    </row>
    <row r="128" spans="2:2" s="26" customFormat="1" x14ac:dyDescent="0.2">
      <c r="B128" s="29"/>
    </row>
    <row r="129" spans="2:2" s="26" customFormat="1" x14ac:dyDescent="0.2">
      <c r="B129" s="29"/>
    </row>
  </sheetData>
  <pageMargins left="0.78740157499999996" right="0.78740157499999996" top="0.984251969" bottom="0.984251969" header="0.49212598499999999" footer="0.49212598499999999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sqref="A1:XFD1048576"/>
    </sheetView>
  </sheetViews>
  <sheetFormatPr defaultColWidth="11.42578125" defaultRowHeight="12.75" x14ac:dyDescent="0.2"/>
  <cols>
    <col min="1" max="1" width="23.5703125" style="33" customWidth="1"/>
    <col min="2" max="9" width="9.140625" style="34" customWidth="1"/>
    <col min="10" max="10" width="10.140625" style="34" customWidth="1"/>
    <col min="11" max="11" width="11.42578125" style="34" customWidth="1"/>
    <col min="12" max="12" width="10.85546875" style="34" customWidth="1"/>
    <col min="13" max="13" width="9.140625" style="34" customWidth="1"/>
    <col min="14" max="14" width="10.42578125" style="35" customWidth="1"/>
    <col min="15" max="15" width="8.28515625" style="33" hidden="1" customWidth="1"/>
    <col min="16" max="16" width="5" style="36" customWidth="1"/>
    <col min="17" max="17" width="4" style="33" customWidth="1"/>
    <col min="18" max="16384" width="11.42578125" style="37"/>
  </cols>
  <sheetData>
    <row r="1" spans="1:17" x14ac:dyDescent="0.2">
      <c r="B1" s="34" t="s">
        <v>34</v>
      </c>
    </row>
    <row r="2" spans="1:17" x14ac:dyDescent="0.2">
      <c r="N2" s="35" t="s">
        <v>23</v>
      </c>
      <c r="O2" s="33" t="s">
        <v>35</v>
      </c>
      <c r="Q2" s="36"/>
    </row>
    <row r="3" spans="1:17" x14ac:dyDescent="0.2">
      <c r="B3" s="35" t="s">
        <v>36</v>
      </c>
      <c r="C3" s="35" t="s">
        <v>37</v>
      </c>
      <c r="D3" s="35" t="s">
        <v>38</v>
      </c>
      <c r="E3" s="35" t="s">
        <v>39</v>
      </c>
      <c r="F3" s="35" t="s">
        <v>40</v>
      </c>
      <c r="G3" s="35" t="s">
        <v>41</v>
      </c>
      <c r="H3" s="35" t="s">
        <v>42</v>
      </c>
      <c r="I3" s="35" t="s">
        <v>43</v>
      </c>
      <c r="J3" s="35" t="s">
        <v>44</v>
      </c>
      <c r="K3" s="35" t="s">
        <v>45</v>
      </c>
      <c r="L3" s="35" t="s">
        <v>46</v>
      </c>
      <c r="M3" s="35" t="s">
        <v>47</v>
      </c>
      <c r="N3" s="35" t="s">
        <v>48</v>
      </c>
      <c r="O3" s="33" t="s">
        <v>49</v>
      </c>
      <c r="P3" s="38"/>
    </row>
    <row r="4" spans="1:17" x14ac:dyDescent="0.2">
      <c r="A4" s="33" t="s">
        <v>50</v>
      </c>
      <c r="B4" s="39">
        <f t="shared" ref="B4:M4" si="0">SUM(B5:B9)</f>
        <v>0</v>
      </c>
      <c r="C4" s="39">
        <f t="shared" si="0"/>
        <v>0</v>
      </c>
      <c r="D4" s="39">
        <f t="shared" si="0"/>
        <v>0</v>
      </c>
      <c r="E4" s="39">
        <f t="shared" si="0"/>
        <v>0</v>
      </c>
      <c r="F4" s="39">
        <f t="shared" si="0"/>
        <v>0</v>
      </c>
      <c r="G4" s="39">
        <f t="shared" si="0"/>
        <v>0</v>
      </c>
      <c r="H4" s="39">
        <f t="shared" si="0"/>
        <v>0</v>
      </c>
      <c r="I4" s="39">
        <f t="shared" si="0"/>
        <v>0</v>
      </c>
      <c r="J4" s="39">
        <f t="shared" si="0"/>
        <v>0</v>
      </c>
      <c r="K4" s="39">
        <f t="shared" si="0"/>
        <v>0</v>
      </c>
      <c r="L4" s="39">
        <f t="shared" si="0"/>
        <v>0</v>
      </c>
      <c r="M4" s="39">
        <f t="shared" si="0"/>
        <v>0</v>
      </c>
      <c r="N4" s="39">
        <f t="shared" ref="N4:N9" si="1">SUM(B4:M4)</f>
        <v>0</v>
      </c>
      <c r="O4" s="40" t="e">
        <f>(N4/#REF!-1)*100</f>
        <v>#REF!</v>
      </c>
      <c r="P4" s="38"/>
      <c r="Q4" s="38"/>
    </row>
    <row r="5" spans="1:17" x14ac:dyDescent="0.2">
      <c r="A5" s="33" t="s">
        <v>51</v>
      </c>
      <c r="B5" s="39">
        <f>[1]A!$B$41*B25/100</f>
        <v>0</v>
      </c>
      <c r="C5" s="39">
        <f>[1]A!$B$41*C25/100</f>
        <v>0</v>
      </c>
      <c r="D5" s="39">
        <f>[1]A!$B$41*D25/100</f>
        <v>0</v>
      </c>
      <c r="E5" s="39">
        <f>[1]A!$B$41*E25/100</f>
        <v>0</v>
      </c>
      <c r="F5" s="39">
        <f>[1]A!$B$41*F25/100</f>
        <v>0</v>
      </c>
      <c r="G5" s="39">
        <f>[1]A!$B$41*G25/100</f>
        <v>0</v>
      </c>
      <c r="H5" s="39">
        <f>[1]A!$B$41*H25/100</f>
        <v>0</v>
      </c>
      <c r="I5" s="39">
        <f>[1]A!$B$41*I25/100</f>
        <v>0</v>
      </c>
      <c r="J5" s="39">
        <f>[1]A!$B$41*J25/100</f>
        <v>0</v>
      </c>
      <c r="K5" s="39">
        <f>[1]A!$B$41*K25/100</f>
        <v>0</v>
      </c>
      <c r="L5" s="39">
        <f>[1]A!$B$41*L25/100</f>
        <v>0</v>
      </c>
      <c r="M5" s="39">
        <f>[1]A!$B$41*M25/100</f>
        <v>0</v>
      </c>
      <c r="N5" s="39">
        <f t="shared" si="1"/>
        <v>0</v>
      </c>
      <c r="O5" s="41"/>
      <c r="P5" s="38"/>
      <c r="Q5" s="38"/>
    </row>
    <row r="6" spans="1:17" x14ac:dyDescent="0.2">
      <c r="A6" s="33" t="s">
        <v>52</v>
      </c>
      <c r="B6" s="39">
        <f>[1]B!$B$41*(B25/100)</f>
        <v>0</v>
      </c>
      <c r="C6" s="39">
        <f>[1]B!$B$41*(C25/100)</f>
        <v>0</v>
      </c>
      <c r="D6" s="39">
        <f>[1]B!$B$41*(D25/100)</f>
        <v>0</v>
      </c>
      <c r="E6" s="39">
        <f>[1]B!$B$41*(E25/100)</f>
        <v>0</v>
      </c>
      <c r="F6" s="39">
        <f>[1]B!$B$41*(F25/100)</f>
        <v>0</v>
      </c>
      <c r="G6" s="39">
        <f>[1]B!$B$41*(G25/100)</f>
        <v>0</v>
      </c>
      <c r="H6" s="39">
        <f>[1]B!$B$41*(H25/100)</f>
        <v>0</v>
      </c>
      <c r="I6" s="39">
        <f>[1]B!$B$41*(I25/100)</f>
        <v>0</v>
      </c>
      <c r="J6" s="39">
        <f>[1]B!$B$41*(J25/100)</f>
        <v>0</v>
      </c>
      <c r="K6" s="39">
        <f>[1]B!$B$41*(K25/100)</f>
        <v>0</v>
      </c>
      <c r="L6" s="39">
        <f>[1]B!$B$41*(L25/100)</f>
        <v>0</v>
      </c>
      <c r="M6" s="39">
        <f>[1]B!$B$41*(M25/100)</f>
        <v>0</v>
      </c>
      <c r="N6" s="39">
        <f t="shared" si="1"/>
        <v>0</v>
      </c>
      <c r="O6" s="41"/>
      <c r="P6" s="38"/>
      <c r="Q6" s="38"/>
    </row>
    <row r="7" spans="1:17" x14ac:dyDescent="0.2">
      <c r="A7" s="33" t="s">
        <v>53</v>
      </c>
      <c r="B7" s="39">
        <f>[1]C!$B$41*B25/100</f>
        <v>0</v>
      </c>
      <c r="C7" s="39">
        <f>[1]C!$B$41*C25/100</f>
        <v>0</v>
      </c>
      <c r="D7" s="39">
        <f>[1]C!$B$41*D25/100</f>
        <v>0</v>
      </c>
      <c r="E7" s="39">
        <f>[1]C!$B$41*E25/100</f>
        <v>0</v>
      </c>
      <c r="F7" s="39">
        <f>[1]C!$B$41*F25/100</f>
        <v>0</v>
      </c>
      <c r="G7" s="39">
        <f>[1]C!$B$41*G25/100</f>
        <v>0</v>
      </c>
      <c r="H7" s="39">
        <f>[1]C!$B$41*H25/100</f>
        <v>0</v>
      </c>
      <c r="I7" s="39">
        <f>[1]C!$B$41*I25/100</f>
        <v>0</v>
      </c>
      <c r="J7" s="39">
        <f>[1]C!$B$41*J25/100</f>
        <v>0</v>
      </c>
      <c r="K7" s="39">
        <f>[1]C!$B$41*K25/100</f>
        <v>0</v>
      </c>
      <c r="L7" s="39">
        <f>[1]C!$B$41*L25/100</f>
        <v>0</v>
      </c>
      <c r="M7" s="39">
        <f>[1]C!$B$41*M25/100</f>
        <v>0</v>
      </c>
      <c r="N7" s="39">
        <f t="shared" si="1"/>
        <v>0</v>
      </c>
      <c r="O7" s="41"/>
      <c r="P7" s="38"/>
      <c r="Q7" s="38"/>
    </row>
    <row r="8" spans="1:17" x14ac:dyDescent="0.2">
      <c r="A8" s="33" t="s">
        <v>54</v>
      </c>
      <c r="B8" s="39">
        <f>[1]D!$B$41*B25/100</f>
        <v>0</v>
      </c>
      <c r="C8" s="39">
        <f>[1]D!$B$41*C25/100</f>
        <v>0</v>
      </c>
      <c r="D8" s="39">
        <f>[1]D!$B$41*D25/100</f>
        <v>0</v>
      </c>
      <c r="E8" s="39">
        <f>[1]D!$B$41*E25/100</f>
        <v>0</v>
      </c>
      <c r="F8" s="39">
        <f>[1]D!$B$41*F25/100</f>
        <v>0</v>
      </c>
      <c r="G8" s="39">
        <f>[1]D!$B$41*G25/100</f>
        <v>0</v>
      </c>
      <c r="H8" s="39">
        <f>[1]D!$B$41*H25/100</f>
        <v>0</v>
      </c>
      <c r="I8" s="39">
        <f>[1]D!$B$41*I25/100</f>
        <v>0</v>
      </c>
      <c r="J8" s="39">
        <f>[1]D!$B$41*J25/100</f>
        <v>0</v>
      </c>
      <c r="K8" s="39">
        <f>[1]D!$B$41*K25/100</f>
        <v>0</v>
      </c>
      <c r="L8" s="39">
        <f>[1]D!$B$41*L25/100</f>
        <v>0</v>
      </c>
      <c r="M8" s="39">
        <f>[1]D!$B$41*M25/100</f>
        <v>0</v>
      </c>
      <c r="N8" s="39">
        <f t="shared" si="1"/>
        <v>0</v>
      </c>
      <c r="O8" s="41"/>
      <c r="P8" s="38"/>
      <c r="Q8" s="38"/>
    </row>
    <row r="9" spans="1:17" x14ac:dyDescent="0.2">
      <c r="A9" s="33" t="s">
        <v>79</v>
      </c>
      <c r="B9" s="39">
        <f>[1]E!$B$41*B25/100</f>
        <v>0</v>
      </c>
      <c r="C9" s="39">
        <f>[1]E!$B$41*C25/100</f>
        <v>0</v>
      </c>
      <c r="D9" s="39">
        <f>[1]E!$B$41*D25/100</f>
        <v>0</v>
      </c>
      <c r="E9" s="39">
        <f>[1]E!$B$41*E25/100</f>
        <v>0</v>
      </c>
      <c r="F9" s="39">
        <f>[1]E!$B$41*F25/100</f>
        <v>0</v>
      </c>
      <c r="G9" s="39">
        <f>[1]E!$B$41*G25/100</f>
        <v>0</v>
      </c>
      <c r="H9" s="39">
        <f>[1]E!$B$41*H25/100</f>
        <v>0</v>
      </c>
      <c r="I9" s="39">
        <f>[1]E!$B$41*I25/100</f>
        <v>0</v>
      </c>
      <c r="J9" s="39">
        <f>[1]E!$B$41*J25/100</f>
        <v>0</v>
      </c>
      <c r="K9" s="39">
        <f>[1]E!$B$41*K25/100</f>
        <v>0</v>
      </c>
      <c r="L9" s="39">
        <f>[1]E!$B$41*L25/100</f>
        <v>0</v>
      </c>
      <c r="M9" s="39">
        <f>[1]E!$B$41*M25/100</f>
        <v>0</v>
      </c>
      <c r="N9" s="39">
        <f t="shared" si="1"/>
        <v>0</v>
      </c>
      <c r="O9" s="41"/>
      <c r="P9" s="38"/>
      <c r="Q9" s="38"/>
    </row>
    <row r="10" spans="1:17" x14ac:dyDescent="0.2"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Q10" s="42"/>
    </row>
    <row r="11" spans="1:17" x14ac:dyDescent="0.2">
      <c r="A11" s="33" t="s">
        <v>55</v>
      </c>
      <c r="B11" s="39" t="e">
        <f t="shared" ref="B11:N11" si="2">SUM(B12:B16)</f>
        <v>#DIV/0!</v>
      </c>
      <c r="C11" s="39" t="e">
        <f t="shared" si="2"/>
        <v>#DIV/0!</v>
      </c>
      <c r="D11" s="39" t="e">
        <f t="shared" si="2"/>
        <v>#DIV/0!</v>
      </c>
      <c r="E11" s="39" t="e">
        <f t="shared" si="2"/>
        <v>#DIV/0!</v>
      </c>
      <c r="F11" s="39" t="e">
        <f t="shared" si="2"/>
        <v>#DIV/0!</v>
      </c>
      <c r="G11" s="39" t="e">
        <f t="shared" si="2"/>
        <v>#DIV/0!</v>
      </c>
      <c r="H11" s="39" t="e">
        <f t="shared" si="2"/>
        <v>#DIV/0!</v>
      </c>
      <c r="I11" s="39" t="e">
        <f t="shared" si="2"/>
        <v>#DIV/0!</v>
      </c>
      <c r="J11" s="39" t="e">
        <f t="shared" si="2"/>
        <v>#DIV/0!</v>
      </c>
      <c r="K11" s="39" t="e">
        <f t="shared" si="2"/>
        <v>#DIV/0!</v>
      </c>
      <c r="L11" s="39" t="e">
        <f t="shared" si="2"/>
        <v>#DIV/0!</v>
      </c>
      <c r="M11" s="39" t="e">
        <f t="shared" si="2"/>
        <v>#DIV/0!</v>
      </c>
      <c r="N11" s="39" t="e">
        <f t="shared" si="2"/>
        <v>#DIV/0!</v>
      </c>
    </row>
    <row r="12" spans="1:17" x14ac:dyDescent="0.2">
      <c r="A12" s="33" t="s">
        <v>51</v>
      </c>
      <c r="B12" s="39" t="e">
        <f t="shared" ref="B12:M16" si="3">B5*$B19</f>
        <v>#DIV/0!</v>
      </c>
      <c r="C12" s="39" t="e">
        <f t="shared" si="3"/>
        <v>#DIV/0!</v>
      </c>
      <c r="D12" s="39" t="e">
        <f t="shared" si="3"/>
        <v>#DIV/0!</v>
      </c>
      <c r="E12" s="39" t="e">
        <f t="shared" si="3"/>
        <v>#DIV/0!</v>
      </c>
      <c r="F12" s="39" t="e">
        <f t="shared" si="3"/>
        <v>#DIV/0!</v>
      </c>
      <c r="G12" s="39" t="e">
        <f t="shared" si="3"/>
        <v>#DIV/0!</v>
      </c>
      <c r="H12" s="39" t="e">
        <f t="shared" si="3"/>
        <v>#DIV/0!</v>
      </c>
      <c r="I12" s="39" t="e">
        <f t="shared" si="3"/>
        <v>#DIV/0!</v>
      </c>
      <c r="J12" s="39" t="e">
        <f t="shared" si="3"/>
        <v>#DIV/0!</v>
      </c>
      <c r="K12" s="39" t="e">
        <f t="shared" si="3"/>
        <v>#DIV/0!</v>
      </c>
      <c r="L12" s="39" t="e">
        <f t="shared" si="3"/>
        <v>#DIV/0!</v>
      </c>
      <c r="M12" s="39" t="e">
        <f t="shared" si="3"/>
        <v>#DIV/0!</v>
      </c>
      <c r="N12" s="39" t="e">
        <f>SUM(B12:M12)</f>
        <v>#DIV/0!</v>
      </c>
    </row>
    <row r="13" spans="1:17" x14ac:dyDescent="0.2">
      <c r="A13" s="33" t="s">
        <v>52</v>
      </c>
      <c r="B13" s="39" t="e">
        <f t="shared" si="3"/>
        <v>#DIV/0!</v>
      </c>
      <c r="C13" s="39" t="e">
        <f t="shared" si="3"/>
        <v>#DIV/0!</v>
      </c>
      <c r="D13" s="39" t="e">
        <f t="shared" si="3"/>
        <v>#DIV/0!</v>
      </c>
      <c r="E13" s="39" t="e">
        <f t="shared" si="3"/>
        <v>#DIV/0!</v>
      </c>
      <c r="F13" s="39" t="e">
        <f t="shared" si="3"/>
        <v>#DIV/0!</v>
      </c>
      <c r="G13" s="39" t="e">
        <f t="shared" si="3"/>
        <v>#DIV/0!</v>
      </c>
      <c r="H13" s="39" t="e">
        <f t="shared" si="3"/>
        <v>#DIV/0!</v>
      </c>
      <c r="I13" s="39" t="e">
        <f t="shared" si="3"/>
        <v>#DIV/0!</v>
      </c>
      <c r="J13" s="39" t="e">
        <f t="shared" si="3"/>
        <v>#DIV/0!</v>
      </c>
      <c r="K13" s="39" t="e">
        <f t="shared" si="3"/>
        <v>#DIV/0!</v>
      </c>
      <c r="L13" s="39" t="e">
        <f t="shared" si="3"/>
        <v>#DIV/0!</v>
      </c>
      <c r="M13" s="39" t="e">
        <f t="shared" si="3"/>
        <v>#DIV/0!</v>
      </c>
      <c r="N13" s="39" t="e">
        <f>SUM(B13:M13)</f>
        <v>#DIV/0!</v>
      </c>
    </row>
    <row r="14" spans="1:17" x14ac:dyDescent="0.2">
      <c r="A14" s="33" t="s">
        <v>53</v>
      </c>
      <c r="B14" s="39" t="e">
        <f t="shared" si="3"/>
        <v>#DIV/0!</v>
      </c>
      <c r="C14" s="39" t="e">
        <f t="shared" si="3"/>
        <v>#DIV/0!</v>
      </c>
      <c r="D14" s="39" t="e">
        <f t="shared" si="3"/>
        <v>#DIV/0!</v>
      </c>
      <c r="E14" s="39" t="e">
        <f t="shared" si="3"/>
        <v>#DIV/0!</v>
      </c>
      <c r="F14" s="39" t="e">
        <f t="shared" si="3"/>
        <v>#DIV/0!</v>
      </c>
      <c r="G14" s="39" t="e">
        <f t="shared" si="3"/>
        <v>#DIV/0!</v>
      </c>
      <c r="H14" s="39" t="e">
        <f t="shared" si="3"/>
        <v>#DIV/0!</v>
      </c>
      <c r="I14" s="39" t="e">
        <f t="shared" si="3"/>
        <v>#DIV/0!</v>
      </c>
      <c r="J14" s="39" t="e">
        <f t="shared" si="3"/>
        <v>#DIV/0!</v>
      </c>
      <c r="K14" s="39" t="e">
        <f t="shared" si="3"/>
        <v>#DIV/0!</v>
      </c>
      <c r="L14" s="39" t="e">
        <f t="shared" si="3"/>
        <v>#DIV/0!</v>
      </c>
      <c r="M14" s="39" t="e">
        <f t="shared" si="3"/>
        <v>#DIV/0!</v>
      </c>
      <c r="N14" s="39" t="e">
        <f>SUM(B14:M14)</f>
        <v>#DIV/0!</v>
      </c>
    </row>
    <row r="15" spans="1:17" x14ac:dyDescent="0.2">
      <c r="A15" s="33" t="s">
        <v>54</v>
      </c>
      <c r="B15" s="39" t="e">
        <f t="shared" si="3"/>
        <v>#DIV/0!</v>
      </c>
      <c r="C15" s="39" t="e">
        <f t="shared" si="3"/>
        <v>#DIV/0!</v>
      </c>
      <c r="D15" s="39" t="e">
        <f t="shared" si="3"/>
        <v>#DIV/0!</v>
      </c>
      <c r="E15" s="39" t="e">
        <f t="shared" si="3"/>
        <v>#DIV/0!</v>
      </c>
      <c r="F15" s="39" t="e">
        <f t="shared" si="3"/>
        <v>#DIV/0!</v>
      </c>
      <c r="G15" s="39" t="e">
        <f t="shared" si="3"/>
        <v>#DIV/0!</v>
      </c>
      <c r="H15" s="39" t="e">
        <f t="shared" si="3"/>
        <v>#DIV/0!</v>
      </c>
      <c r="I15" s="39" t="e">
        <f t="shared" si="3"/>
        <v>#DIV/0!</v>
      </c>
      <c r="J15" s="39" t="e">
        <f t="shared" si="3"/>
        <v>#DIV/0!</v>
      </c>
      <c r="K15" s="39" t="e">
        <f t="shared" si="3"/>
        <v>#DIV/0!</v>
      </c>
      <c r="L15" s="39" t="e">
        <f t="shared" si="3"/>
        <v>#DIV/0!</v>
      </c>
      <c r="M15" s="39" t="e">
        <f t="shared" si="3"/>
        <v>#DIV/0!</v>
      </c>
      <c r="N15" s="39" t="e">
        <f>SUM(B15:M15)</f>
        <v>#DIV/0!</v>
      </c>
    </row>
    <row r="16" spans="1:17" x14ac:dyDescent="0.2">
      <c r="A16" s="33" t="s">
        <v>79</v>
      </c>
      <c r="B16" s="39" t="e">
        <f t="shared" si="3"/>
        <v>#DIV/0!</v>
      </c>
      <c r="C16" s="39" t="e">
        <f t="shared" si="3"/>
        <v>#DIV/0!</v>
      </c>
      <c r="D16" s="39" t="e">
        <f t="shared" si="3"/>
        <v>#DIV/0!</v>
      </c>
      <c r="E16" s="39" t="e">
        <f t="shared" si="3"/>
        <v>#DIV/0!</v>
      </c>
      <c r="F16" s="39" t="e">
        <f t="shared" si="3"/>
        <v>#DIV/0!</v>
      </c>
      <c r="G16" s="39" t="e">
        <f t="shared" si="3"/>
        <v>#DIV/0!</v>
      </c>
      <c r="H16" s="39" t="e">
        <f t="shared" si="3"/>
        <v>#DIV/0!</v>
      </c>
      <c r="I16" s="39" t="e">
        <f t="shared" si="3"/>
        <v>#DIV/0!</v>
      </c>
      <c r="J16" s="39" t="e">
        <f t="shared" si="3"/>
        <v>#DIV/0!</v>
      </c>
      <c r="K16" s="39" t="e">
        <f t="shared" si="3"/>
        <v>#DIV/0!</v>
      </c>
      <c r="L16" s="39" t="e">
        <f t="shared" si="3"/>
        <v>#DIV/0!</v>
      </c>
      <c r="M16" s="39" t="e">
        <f t="shared" si="3"/>
        <v>#DIV/0!</v>
      </c>
      <c r="N16" s="39" t="e">
        <f>SUM(B16:M16)</f>
        <v>#DIV/0!</v>
      </c>
    </row>
    <row r="17" spans="1:14" s="37" customFormat="1" x14ac:dyDescent="0.2">
      <c r="A17" s="33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4" s="37" customFormat="1" x14ac:dyDescent="0.2">
      <c r="A18" s="33" t="s">
        <v>56</v>
      </c>
      <c r="B18" s="43" t="e">
        <f>N11/N4</f>
        <v>#DIV/0!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</row>
    <row r="19" spans="1:14" s="37" customFormat="1" x14ac:dyDescent="0.2">
      <c r="A19" s="33" t="s">
        <v>51</v>
      </c>
      <c r="B19" s="43" t="e">
        <f>[1]A!D25%</f>
        <v>#DIV/0!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</row>
    <row r="20" spans="1:14" s="37" customFormat="1" x14ac:dyDescent="0.2">
      <c r="A20" s="33" t="s">
        <v>52</v>
      </c>
      <c r="B20" s="43" t="e">
        <f>[1]B!D25%</f>
        <v>#DIV/0!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4" s="37" customFormat="1" x14ac:dyDescent="0.2">
      <c r="A21" s="33" t="s">
        <v>53</v>
      </c>
      <c r="B21" s="43" t="e">
        <f>[1]C!D25%</f>
        <v>#DIV/0!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spans="1:14" s="37" customFormat="1" x14ac:dyDescent="0.2">
      <c r="A22" s="33" t="s">
        <v>54</v>
      </c>
      <c r="B22" s="43" t="e">
        <f>[1]D!D25%</f>
        <v>#DIV/0!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</row>
    <row r="23" spans="1:14" s="37" customFormat="1" x14ac:dyDescent="0.2">
      <c r="A23" s="33" t="s">
        <v>79</v>
      </c>
      <c r="B23" s="43" t="e">
        <f>[1]E!D25%</f>
        <v>#DIV/0!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4" spans="1:14" s="37" customFormat="1" x14ac:dyDescent="0.2">
      <c r="A24" s="33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</row>
    <row r="25" spans="1:14" s="37" customFormat="1" x14ac:dyDescent="0.2">
      <c r="A25" s="33" t="s">
        <v>133</v>
      </c>
      <c r="B25" s="44">
        <f>100/12</f>
        <v>8.3333333333333339</v>
      </c>
      <c r="C25" s="44">
        <f t="shared" ref="C25:M25" si="4">100/12</f>
        <v>8.3333333333333339</v>
      </c>
      <c r="D25" s="44">
        <f t="shared" si="4"/>
        <v>8.3333333333333339</v>
      </c>
      <c r="E25" s="44">
        <f t="shared" si="4"/>
        <v>8.3333333333333339</v>
      </c>
      <c r="F25" s="44">
        <f t="shared" si="4"/>
        <v>8.3333333333333339</v>
      </c>
      <c r="G25" s="44">
        <f t="shared" si="4"/>
        <v>8.3333333333333339</v>
      </c>
      <c r="H25" s="44">
        <f t="shared" si="4"/>
        <v>8.3333333333333339</v>
      </c>
      <c r="I25" s="44">
        <f t="shared" si="4"/>
        <v>8.3333333333333339</v>
      </c>
      <c r="J25" s="44">
        <f t="shared" si="4"/>
        <v>8.3333333333333339</v>
      </c>
      <c r="K25" s="44">
        <f t="shared" si="4"/>
        <v>8.3333333333333339</v>
      </c>
      <c r="L25" s="44">
        <f t="shared" si="4"/>
        <v>8.3333333333333339</v>
      </c>
      <c r="M25" s="44">
        <f t="shared" si="4"/>
        <v>8.3333333333333339</v>
      </c>
      <c r="N25" s="35">
        <f>SUM(B25:M25)</f>
        <v>99.999999999999986</v>
      </c>
    </row>
    <row r="26" spans="1:14" s="37" customFormat="1" x14ac:dyDescent="0.2">
      <c r="A26" s="33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</row>
    <row r="27" spans="1:14" s="37" customFormat="1" x14ac:dyDescent="0.2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</row>
    <row r="29" spans="1:14" s="37" customFormat="1" x14ac:dyDescent="0.2">
      <c r="A29" s="35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1:14" s="37" customFormat="1" x14ac:dyDescent="0.2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5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6"/>
  <sheetViews>
    <sheetView workbookViewId="0">
      <selection activeCell="E27" sqref="E27"/>
    </sheetView>
  </sheetViews>
  <sheetFormatPr defaultColWidth="11.42578125" defaultRowHeight="12.75" x14ac:dyDescent="0.2"/>
  <cols>
    <col min="1" max="1" width="27" style="45" customWidth="1"/>
    <col min="2" max="4" width="9.7109375" style="45" customWidth="1"/>
    <col min="5" max="5" width="11.42578125" style="45" customWidth="1"/>
    <col min="6" max="13" width="9.7109375" style="45" customWidth="1"/>
    <col min="14" max="15" width="10.7109375" style="41" customWidth="1"/>
    <col min="16" max="16" width="7.28515625" style="41" customWidth="1"/>
    <col min="17" max="16384" width="11.42578125" style="45"/>
  </cols>
  <sheetData>
    <row r="2" spans="1:16" x14ac:dyDescent="0.2">
      <c r="A2"/>
      <c r="N2" s="41" t="s">
        <v>57</v>
      </c>
      <c r="O2" s="41" t="s">
        <v>57</v>
      </c>
      <c r="P2" s="41" t="s">
        <v>58</v>
      </c>
    </row>
    <row r="3" spans="1:16" x14ac:dyDescent="0.2">
      <c r="A3" s="41"/>
      <c r="B3" s="41" t="s">
        <v>36</v>
      </c>
      <c r="C3" s="41" t="s">
        <v>37</v>
      </c>
      <c r="D3" s="41" t="s">
        <v>38</v>
      </c>
      <c r="E3" s="41" t="s">
        <v>39</v>
      </c>
      <c r="F3" s="41" t="s">
        <v>40</v>
      </c>
      <c r="G3" s="41" t="s">
        <v>41</v>
      </c>
      <c r="H3" s="41" t="s">
        <v>42</v>
      </c>
      <c r="I3" s="41" t="s">
        <v>43</v>
      </c>
      <c r="J3" s="41" t="s">
        <v>44</v>
      </c>
      <c r="K3" s="41" t="s">
        <v>45</v>
      </c>
      <c r="L3" s="41" t="s">
        <v>46</v>
      </c>
      <c r="M3" s="41" t="s">
        <v>47</v>
      </c>
      <c r="N3" s="41" t="s">
        <v>59</v>
      </c>
      <c r="O3" s="41" t="s">
        <v>60</v>
      </c>
    </row>
    <row r="4" spans="1:16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6" x14ac:dyDescent="0.2">
      <c r="A5" s="15" t="s">
        <v>105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6" x14ac:dyDescent="0.2">
      <c r="A6" s="41" t="s">
        <v>106</v>
      </c>
      <c r="B6" s="40">
        <f>($O6/12)*(1+($P6/100))</f>
        <v>150000</v>
      </c>
      <c r="C6" s="40">
        <f t="shared" ref="C6:I6" si="0">($O6/12)*(1+($P6/100))</f>
        <v>150000</v>
      </c>
      <c r="D6" s="40">
        <f t="shared" si="0"/>
        <v>150000</v>
      </c>
      <c r="E6" s="40">
        <f t="shared" si="0"/>
        <v>150000</v>
      </c>
      <c r="F6" s="40">
        <f t="shared" si="0"/>
        <v>150000</v>
      </c>
      <c r="G6" s="40">
        <f t="shared" si="0"/>
        <v>150000</v>
      </c>
      <c r="H6" s="40">
        <f t="shared" si="0"/>
        <v>150000</v>
      </c>
      <c r="I6" s="40">
        <f t="shared" si="0"/>
        <v>150000</v>
      </c>
      <c r="J6" s="40">
        <f>($O6/12)*(1+($P6/100))</f>
        <v>150000</v>
      </c>
      <c r="K6" s="40">
        <f>($O6/12)*(1+($P6/100))</f>
        <v>150000</v>
      </c>
      <c r="L6" s="40">
        <f>($O6/12)*(1+($P6/100))</f>
        <v>150000</v>
      </c>
      <c r="M6" s="40">
        <f>($O6/12)*(1+($P6/100))</f>
        <v>150000</v>
      </c>
      <c r="N6" s="40">
        <f>SUM(B6:M6)</f>
        <v>1800000</v>
      </c>
      <c r="O6" s="40">
        <v>1800000</v>
      </c>
    </row>
    <row r="7" spans="1:16" x14ac:dyDescent="0.2">
      <c r="A7" s="41" t="s">
        <v>107</v>
      </c>
      <c r="B7" s="40">
        <f>B6*85%</f>
        <v>127500</v>
      </c>
      <c r="C7" s="40">
        <f t="shared" ref="C7:O7" si="1">C6*85%</f>
        <v>127500</v>
      </c>
      <c r="D7" s="40">
        <f t="shared" si="1"/>
        <v>127500</v>
      </c>
      <c r="E7" s="40">
        <f t="shared" si="1"/>
        <v>127500</v>
      </c>
      <c r="F7" s="40">
        <f t="shared" si="1"/>
        <v>127500</v>
      </c>
      <c r="G7" s="40">
        <f t="shared" si="1"/>
        <v>127500</v>
      </c>
      <c r="H7" s="40">
        <f t="shared" si="1"/>
        <v>127500</v>
      </c>
      <c r="I7" s="40">
        <f t="shared" si="1"/>
        <v>127500</v>
      </c>
      <c r="J7" s="40">
        <f t="shared" si="1"/>
        <v>127500</v>
      </c>
      <c r="K7" s="40">
        <f t="shared" si="1"/>
        <v>127500</v>
      </c>
      <c r="L7" s="40">
        <f t="shared" si="1"/>
        <v>127500</v>
      </c>
      <c r="M7" s="40">
        <f t="shared" si="1"/>
        <v>127500</v>
      </c>
      <c r="N7" s="40">
        <f t="shared" si="1"/>
        <v>1530000</v>
      </c>
      <c r="O7" s="40">
        <f t="shared" si="1"/>
        <v>1530000</v>
      </c>
    </row>
    <row r="8" spans="1:16" x14ac:dyDescent="0.2">
      <c r="A8" s="41" t="s">
        <v>108</v>
      </c>
      <c r="B8" s="40">
        <f>B6+B7</f>
        <v>277500</v>
      </c>
      <c r="C8" s="40">
        <f t="shared" ref="C8:O8" si="2">C6+C7</f>
        <v>277500</v>
      </c>
      <c r="D8" s="40">
        <f t="shared" si="2"/>
        <v>277500</v>
      </c>
      <c r="E8" s="40">
        <f t="shared" si="2"/>
        <v>277500</v>
      </c>
      <c r="F8" s="40">
        <f t="shared" si="2"/>
        <v>277500</v>
      </c>
      <c r="G8" s="40">
        <f t="shared" si="2"/>
        <v>277500</v>
      </c>
      <c r="H8" s="40">
        <f t="shared" si="2"/>
        <v>277500</v>
      </c>
      <c r="I8" s="40">
        <f t="shared" si="2"/>
        <v>277500</v>
      </c>
      <c r="J8" s="40">
        <f t="shared" si="2"/>
        <v>277500</v>
      </c>
      <c r="K8" s="40">
        <f t="shared" si="2"/>
        <v>277500</v>
      </c>
      <c r="L8" s="40">
        <f t="shared" si="2"/>
        <v>277500</v>
      </c>
      <c r="M8" s="40">
        <f t="shared" si="2"/>
        <v>277500</v>
      </c>
      <c r="N8" s="40">
        <f t="shared" si="2"/>
        <v>3330000</v>
      </c>
      <c r="O8" s="40">
        <f t="shared" si="2"/>
        <v>3330000</v>
      </c>
    </row>
    <row r="9" spans="1:16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1:16" x14ac:dyDescent="0.2">
      <c r="A10" s="41" t="s">
        <v>109</v>
      </c>
      <c r="B10" s="40">
        <f t="shared" ref="B10:M12" si="3">($O10/12)*(1+($P10/100))</f>
        <v>29166.666666666668</v>
      </c>
      <c r="C10" s="40">
        <f t="shared" si="3"/>
        <v>29166.666666666668</v>
      </c>
      <c r="D10" s="40">
        <f t="shared" si="3"/>
        <v>29166.666666666668</v>
      </c>
      <c r="E10" s="40">
        <f t="shared" si="3"/>
        <v>29166.666666666668</v>
      </c>
      <c r="F10" s="40">
        <f t="shared" si="3"/>
        <v>29166.666666666668</v>
      </c>
      <c r="G10" s="40">
        <f t="shared" si="3"/>
        <v>29166.666666666668</v>
      </c>
      <c r="H10" s="40">
        <f t="shared" si="3"/>
        <v>29166.666666666668</v>
      </c>
      <c r="I10" s="40">
        <f t="shared" si="3"/>
        <v>29166.666666666668</v>
      </c>
      <c r="J10" s="40">
        <f t="shared" si="3"/>
        <v>29166.666666666668</v>
      </c>
      <c r="K10" s="40">
        <f t="shared" si="3"/>
        <v>29166.666666666668</v>
      </c>
      <c r="L10" s="40">
        <f t="shared" si="3"/>
        <v>29166.666666666668</v>
      </c>
      <c r="M10" s="40">
        <f t="shared" si="3"/>
        <v>29166.666666666668</v>
      </c>
      <c r="N10" s="40">
        <f>SUM(B10:M10)</f>
        <v>350000.00000000006</v>
      </c>
      <c r="O10" s="40">
        <v>350000</v>
      </c>
    </row>
    <row r="11" spans="1:16" x14ac:dyDescent="0.2">
      <c r="A11" s="41" t="s">
        <v>110</v>
      </c>
      <c r="B11" s="40">
        <f t="shared" si="3"/>
        <v>5000</v>
      </c>
      <c r="C11" s="40">
        <f t="shared" si="3"/>
        <v>5000</v>
      </c>
      <c r="D11" s="40">
        <f t="shared" si="3"/>
        <v>5000</v>
      </c>
      <c r="E11" s="40">
        <f t="shared" si="3"/>
        <v>5000</v>
      </c>
      <c r="F11" s="40">
        <f t="shared" si="3"/>
        <v>5000</v>
      </c>
      <c r="G11" s="40">
        <f t="shared" si="3"/>
        <v>5000</v>
      </c>
      <c r="H11" s="40">
        <f t="shared" si="3"/>
        <v>5000</v>
      </c>
      <c r="I11" s="40">
        <f t="shared" si="3"/>
        <v>5000</v>
      </c>
      <c r="J11" s="40">
        <f t="shared" si="3"/>
        <v>5000</v>
      </c>
      <c r="K11" s="40">
        <f t="shared" si="3"/>
        <v>5000</v>
      </c>
      <c r="L11" s="40">
        <f t="shared" si="3"/>
        <v>5000</v>
      </c>
      <c r="M11" s="40">
        <f t="shared" si="3"/>
        <v>5000</v>
      </c>
      <c r="N11" s="40">
        <f>SUM(B11:M11)</f>
        <v>60000</v>
      </c>
      <c r="O11" s="40">
        <v>60000</v>
      </c>
    </row>
    <row r="12" spans="1:16" x14ac:dyDescent="0.2">
      <c r="A12" s="41" t="s">
        <v>111</v>
      </c>
      <c r="B12" s="40">
        <f t="shared" si="3"/>
        <v>5833.333333333333</v>
      </c>
      <c r="C12" s="40">
        <f t="shared" si="3"/>
        <v>5833.333333333333</v>
      </c>
      <c r="D12" s="40">
        <f t="shared" si="3"/>
        <v>5833.333333333333</v>
      </c>
      <c r="E12" s="40">
        <f t="shared" si="3"/>
        <v>5833.333333333333</v>
      </c>
      <c r="F12" s="40">
        <f t="shared" si="3"/>
        <v>5833.333333333333</v>
      </c>
      <c r="G12" s="40">
        <f t="shared" si="3"/>
        <v>5833.333333333333</v>
      </c>
      <c r="H12" s="40">
        <f t="shared" si="3"/>
        <v>5833.333333333333</v>
      </c>
      <c r="I12" s="40">
        <f t="shared" si="3"/>
        <v>5833.333333333333</v>
      </c>
      <c r="J12" s="40">
        <f t="shared" si="3"/>
        <v>5833.333333333333</v>
      </c>
      <c r="K12" s="40">
        <f t="shared" si="3"/>
        <v>5833.333333333333</v>
      </c>
      <c r="L12" s="40">
        <f t="shared" si="3"/>
        <v>5833.333333333333</v>
      </c>
      <c r="M12" s="40">
        <f t="shared" si="3"/>
        <v>5833.333333333333</v>
      </c>
      <c r="N12" s="40">
        <f>SUM(B12:M12)</f>
        <v>70000.000000000015</v>
      </c>
      <c r="O12" s="40">
        <v>70000</v>
      </c>
    </row>
    <row r="13" spans="1:16" x14ac:dyDescent="0.2">
      <c r="A13" s="41" t="s">
        <v>112</v>
      </c>
      <c r="B13" s="40">
        <f t="shared" ref="B13:M13" si="4">SUM(B10:B12)</f>
        <v>40000.000000000007</v>
      </c>
      <c r="C13" s="40">
        <f t="shared" si="4"/>
        <v>40000.000000000007</v>
      </c>
      <c r="D13" s="40">
        <f t="shared" si="4"/>
        <v>40000.000000000007</v>
      </c>
      <c r="E13" s="40">
        <f t="shared" si="4"/>
        <v>40000.000000000007</v>
      </c>
      <c r="F13" s="40">
        <f t="shared" si="4"/>
        <v>40000.000000000007</v>
      </c>
      <c r="G13" s="40">
        <f t="shared" si="4"/>
        <v>40000.000000000007</v>
      </c>
      <c r="H13" s="40">
        <f t="shared" si="4"/>
        <v>40000.000000000007</v>
      </c>
      <c r="I13" s="40">
        <f t="shared" si="4"/>
        <v>40000.000000000007</v>
      </c>
      <c r="J13" s="40">
        <f t="shared" si="4"/>
        <v>40000.000000000007</v>
      </c>
      <c r="K13" s="40">
        <f t="shared" si="4"/>
        <v>40000.000000000007</v>
      </c>
      <c r="L13" s="40">
        <f t="shared" si="4"/>
        <v>40000.000000000007</v>
      </c>
      <c r="M13" s="40">
        <f t="shared" si="4"/>
        <v>40000.000000000007</v>
      </c>
      <c r="N13" s="40">
        <f>SUM(B13:M13)</f>
        <v>480000.00000000006</v>
      </c>
      <c r="O13" s="40">
        <f>SUM(O10:O12)</f>
        <v>480000</v>
      </c>
    </row>
    <row r="14" spans="1:16" x14ac:dyDescent="0.2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1:16" x14ac:dyDescent="0.2">
      <c r="A15" s="15" t="s">
        <v>113</v>
      </c>
      <c r="B15" s="40">
        <f t="shared" ref="B15:O15" si="5">B8+B13</f>
        <v>317500</v>
      </c>
      <c r="C15" s="40">
        <f t="shared" si="5"/>
        <v>317500</v>
      </c>
      <c r="D15" s="40">
        <f t="shared" si="5"/>
        <v>317500</v>
      </c>
      <c r="E15" s="40">
        <f t="shared" si="5"/>
        <v>317500</v>
      </c>
      <c r="F15" s="40">
        <f t="shared" si="5"/>
        <v>317500</v>
      </c>
      <c r="G15" s="40">
        <f t="shared" si="5"/>
        <v>317500</v>
      </c>
      <c r="H15" s="40">
        <f t="shared" si="5"/>
        <v>317500</v>
      </c>
      <c r="I15" s="40">
        <f t="shared" si="5"/>
        <v>317500</v>
      </c>
      <c r="J15" s="40">
        <f t="shared" si="5"/>
        <v>317500</v>
      </c>
      <c r="K15" s="40">
        <f t="shared" si="5"/>
        <v>317500</v>
      </c>
      <c r="L15" s="40">
        <f t="shared" si="5"/>
        <v>317500</v>
      </c>
      <c r="M15" s="40">
        <f t="shared" si="5"/>
        <v>317500</v>
      </c>
      <c r="N15" s="40">
        <f t="shared" si="5"/>
        <v>3810000</v>
      </c>
      <c r="O15" s="40">
        <f t="shared" si="5"/>
        <v>3810000</v>
      </c>
    </row>
    <row r="16" spans="1:16" x14ac:dyDescent="0.2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</row>
    <row r="17" spans="1:16" x14ac:dyDescent="0.2">
      <c r="A17" s="15" t="s">
        <v>114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O17" s="45"/>
    </row>
    <row r="18" spans="1:16" x14ac:dyDescent="0.2">
      <c r="A18" s="41" t="s">
        <v>115</v>
      </c>
      <c r="B18" s="40">
        <f>($O18/12)*(1+($P18/100))</f>
        <v>166666.66666666666</v>
      </c>
      <c r="C18" s="40">
        <f t="shared" ref="C18:M18" si="6">($O18/12)*(1+($P18/100))</f>
        <v>166666.66666666666</v>
      </c>
      <c r="D18" s="40">
        <f t="shared" si="6"/>
        <v>166666.66666666666</v>
      </c>
      <c r="E18" s="40">
        <f t="shared" si="6"/>
        <v>166666.66666666666</v>
      </c>
      <c r="F18" s="40">
        <f t="shared" si="6"/>
        <v>166666.66666666666</v>
      </c>
      <c r="G18" s="40">
        <f t="shared" si="6"/>
        <v>166666.66666666666</v>
      </c>
      <c r="H18" s="40">
        <f t="shared" si="6"/>
        <v>166666.66666666666</v>
      </c>
      <c r="I18" s="40">
        <f t="shared" si="6"/>
        <v>166666.66666666666</v>
      </c>
      <c r="J18" s="40">
        <f t="shared" si="6"/>
        <v>166666.66666666666</v>
      </c>
      <c r="K18" s="40">
        <f t="shared" si="6"/>
        <v>166666.66666666666</v>
      </c>
      <c r="L18" s="40">
        <f t="shared" si="6"/>
        <v>166666.66666666666</v>
      </c>
      <c r="M18" s="40">
        <f t="shared" si="6"/>
        <v>166666.66666666666</v>
      </c>
      <c r="N18" s="40">
        <f>SUM(B18:M18)</f>
        <v>2000000.0000000002</v>
      </c>
      <c r="O18" s="40">
        <v>2000000</v>
      </c>
    </row>
    <row r="19" spans="1:16" x14ac:dyDescent="0.2">
      <c r="A19" s="41" t="s">
        <v>116</v>
      </c>
      <c r="B19" s="40">
        <f t="shared" ref="B19:M21" si="7">($O19/12)*(1+($P19/100))</f>
        <v>148333.33333333334</v>
      </c>
      <c r="C19" s="40">
        <f t="shared" si="7"/>
        <v>148333.33333333334</v>
      </c>
      <c r="D19" s="40">
        <f t="shared" si="7"/>
        <v>148333.33333333334</v>
      </c>
      <c r="E19" s="40">
        <f t="shared" si="7"/>
        <v>148333.33333333334</v>
      </c>
      <c r="F19" s="40">
        <f t="shared" si="7"/>
        <v>148333.33333333334</v>
      </c>
      <c r="G19" s="40">
        <f t="shared" si="7"/>
        <v>148333.33333333334</v>
      </c>
      <c r="H19" s="40">
        <f t="shared" si="7"/>
        <v>148333.33333333334</v>
      </c>
      <c r="I19" s="40">
        <f t="shared" si="7"/>
        <v>148333.33333333334</v>
      </c>
      <c r="J19" s="40">
        <f t="shared" si="7"/>
        <v>148333.33333333334</v>
      </c>
      <c r="K19" s="40">
        <f t="shared" si="7"/>
        <v>148333.33333333334</v>
      </c>
      <c r="L19" s="40">
        <f t="shared" si="7"/>
        <v>148333.33333333334</v>
      </c>
      <c r="M19" s="40">
        <f t="shared" si="7"/>
        <v>148333.33333333334</v>
      </c>
      <c r="N19" s="40">
        <f>SUM(B19:M19)</f>
        <v>1779999.9999999998</v>
      </c>
      <c r="O19" s="40">
        <v>1780000</v>
      </c>
    </row>
    <row r="20" spans="1:16" x14ac:dyDescent="0.2">
      <c r="A20" s="41" t="s">
        <v>117</v>
      </c>
      <c r="B20" s="40">
        <f>($N20/12)*(1+($P20/100))</f>
        <v>0</v>
      </c>
      <c r="C20" s="40">
        <f t="shared" ref="C20:M20" si="8">($N20/12)*(1+($P20/100))</f>
        <v>0</v>
      </c>
      <c r="D20" s="40">
        <f t="shared" si="8"/>
        <v>0</v>
      </c>
      <c r="E20" s="40">
        <f t="shared" si="8"/>
        <v>0</v>
      </c>
      <c r="F20" s="40">
        <f t="shared" si="8"/>
        <v>0</v>
      </c>
      <c r="G20" s="40">
        <f t="shared" si="8"/>
        <v>0</v>
      </c>
      <c r="H20" s="40">
        <f t="shared" si="8"/>
        <v>0</v>
      </c>
      <c r="I20" s="40">
        <f t="shared" si="8"/>
        <v>0</v>
      </c>
      <c r="J20" s="40">
        <f t="shared" si="8"/>
        <v>0</v>
      </c>
      <c r="K20" s="40">
        <f t="shared" si="8"/>
        <v>0</v>
      </c>
      <c r="L20" s="40">
        <f t="shared" si="8"/>
        <v>0</v>
      </c>
      <c r="M20" s="40">
        <f t="shared" si="8"/>
        <v>0</v>
      </c>
      <c r="N20" s="40" t="b">
        <f>IF([1]E!D2&gt;17,300000)</f>
        <v>0</v>
      </c>
      <c r="O20" s="40">
        <v>0</v>
      </c>
    </row>
    <row r="21" spans="1:16" x14ac:dyDescent="0.2">
      <c r="A21" s="41" t="s">
        <v>118</v>
      </c>
      <c r="B21" s="40">
        <f t="shared" si="7"/>
        <v>34166.666666666664</v>
      </c>
      <c r="C21" s="40">
        <f t="shared" si="7"/>
        <v>34166.666666666664</v>
      </c>
      <c r="D21" s="40">
        <f t="shared" si="7"/>
        <v>34166.666666666664</v>
      </c>
      <c r="E21" s="40">
        <f t="shared" si="7"/>
        <v>34166.666666666664</v>
      </c>
      <c r="F21" s="40">
        <f t="shared" si="7"/>
        <v>34166.666666666664</v>
      </c>
      <c r="G21" s="40">
        <f t="shared" si="7"/>
        <v>34166.666666666664</v>
      </c>
      <c r="H21" s="40">
        <f t="shared" si="7"/>
        <v>34166.666666666664</v>
      </c>
      <c r="I21" s="40">
        <f t="shared" si="7"/>
        <v>34166.666666666664</v>
      </c>
      <c r="J21" s="40">
        <f t="shared" si="7"/>
        <v>34166.666666666664</v>
      </c>
      <c r="K21" s="40">
        <f t="shared" si="7"/>
        <v>34166.666666666664</v>
      </c>
      <c r="L21" s="40">
        <f t="shared" si="7"/>
        <v>34166.666666666664</v>
      </c>
      <c r="M21" s="40">
        <f t="shared" si="7"/>
        <v>34166.666666666664</v>
      </c>
      <c r="N21" s="40">
        <f>SUM(B21:M21)</f>
        <v>410000.00000000006</v>
      </c>
      <c r="O21" s="40">
        <v>410000</v>
      </c>
    </row>
    <row r="22" spans="1:16" x14ac:dyDescent="0.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</row>
    <row r="23" spans="1:16" x14ac:dyDescent="0.2">
      <c r="A23" s="41" t="s">
        <v>119</v>
      </c>
      <c r="B23" s="40">
        <f>SUM(B18:B21)</f>
        <v>349166.66666666669</v>
      </c>
      <c r="C23" s="40">
        <f t="shared" ref="C23:O23" si="9">SUM(C18:C21)</f>
        <v>349166.66666666669</v>
      </c>
      <c r="D23" s="40">
        <f t="shared" si="9"/>
        <v>349166.66666666669</v>
      </c>
      <c r="E23" s="40">
        <f t="shared" si="9"/>
        <v>349166.66666666669</v>
      </c>
      <c r="F23" s="40">
        <f t="shared" si="9"/>
        <v>349166.66666666669</v>
      </c>
      <c r="G23" s="40">
        <f t="shared" si="9"/>
        <v>349166.66666666669</v>
      </c>
      <c r="H23" s="40">
        <f t="shared" si="9"/>
        <v>349166.66666666669</v>
      </c>
      <c r="I23" s="40">
        <f t="shared" si="9"/>
        <v>349166.66666666669</v>
      </c>
      <c r="J23" s="40">
        <f t="shared" si="9"/>
        <v>349166.66666666669</v>
      </c>
      <c r="K23" s="40">
        <f t="shared" si="9"/>
        <v>349166.66666666669</v>
      </c>
      <c r="L23" s="40">
        <f t="shared" si="9"/>
        <v>349166.66666666669</v>
      </c>
      <c r="M23" s="40">
        <f t="shared" si="9"/>
        <v>349166.66666666669</v>
      </c>
      <c r="N23" s="40">
        <f t="shared" si="9"/>
        <v>4190000</v>
      </c>
      <c r="O23" s="40">
        <f t="shared" si="9"/>
        <v>4190000</v>
      </c>
    </row>
    <row r="24" spans="1:16" x14ac:dyDescent="0.2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</row>
    <row r="25" spans="1:16" s="41" customFormat="1" ht="20.25" customHeight="1" x14ac:dyDescent="0.2">
      <c r="A25" s="15" t="s">
        <v>120</v>
      </c>
      <c r="B25" s="40">
        <f>(B15+B23)</f>
        <v>666666.66666666674</v>
      </c>
      <c r="C25" s="40">
        <f t="shared" ref="C25:M25" si="10">(C15+C23)</f>
        <v>666666.66666666674</v>
      </c>
      <c r="D25" s="40">
        <f t="shared" si="10"/>
        <v>666666.66666666674</v>
      </c>
      <c r="E25" s="40">
        <f t="shared" si="10"/>
        <v>666666.66666666674</v>
      </c>
      <c r="F25" s="40">
        <f t="shared" si="10"/>
        <v>666666.66666666674</v>
      </c>
      <c r="G25" s="40">
        <f t="shared" si="10"/>
        <v>666666.66666666674</v>
      </c>
      <c r="H25" s="40">
        <f t="shared" si="10"/>
        <v>666666.66666666674</v>
      </c>
      <c r="I25" s="40">
        <f t="shared" si="10"/>
        <v>666666.66666666674</v>
      </c>
      <c r="J25" s="40">
        <f t="shared" si="10"/>
        <v>666666.66666666674</v>
      </c>
      <c r="K25" s="40">
        <f t="shared" si="10"/>
        <v>666666.66666666674</v>
      </c>
      <c r="L25" s="40">
        <f t="shared" si="10"/>
        <v>666666.66666666674</v>
      </c>
      <c r="M25" s="40">
        <f t="shared" si="10"/>
        <v>666666.66666666674</v>
      </c>
      <c r="N25" s="40">
        <f>(N15+N23)</f>
        <v>8000000</v>
      </c>
      <c r="O25" s="40">
        <f>O15+O23</f>
        <v>8000000</v>
      </c>
      <c r="P25" s="40">
        <f>((N25/O25)-1)*100</f>
        <v>0</v>
      </c>
    </row>
    <row r="26" spans="1:16" s="46" customFormat="1" x14ac:dyDescent="0.2"/>
    <row r="27" spans="1:16" s="46" customFormat="1" x14ac:dyDescent="0.2"/>
    <row r="28" spans="1:16" s="41" customFormat="1" x14ac:dyDescent="0.2"/>
    <row r="29" spans="1:16" s="41" customFormat="1" x14ac:dyDescent="0.2"/>
    <row r="30" spans="1:16" x14ac:dyDescent="0.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</row>
    <row r="31" spans="1:16" hidden="1" x14ac:dyDescent="0.2">
      <c r="A31" s="41" t="s">
        <v>61</v>
      </c>
      <c r="B31" s="41">
        <f>B32+B33</f>
        <v>5110.1333333333332</v>
      </c>
      <c r="C31" s="41">
        <f t="shared" ref="C31:M31" si="11">C32+C33</f>
        <v>5110.1333333333332</v>
      </c>
      <c r="D31" s="41">
        <f t="shared" si="11"/>
        <v>5110.1333333333332</v>
      </c>
      <c r="E31" s="41">
        <f t="shared" si="11"/>
        <v>5110.1333333333332</v>
      </c>
      <c r="F31" s="41">
        <f t="shared" si="11"/>
        <v>5110.1333333333332</v>
      </c>
      <c r="G31" s="41">
        <f t="shared" si="11"/>
        <v>5110.1333333333332</v>
      </c>
      <c r="H31" s="41">
        <f t="shared" si="11"/>
        <v>5110.1333333333332</v>
      </c>
      <c r="I31" s="41">
        <f t="shared" si="11"/>
        <v>5110.1333333333332</v>
      </c>
      <c r="J31" s="41">
        <f t="shared" si="11"/>
        <v>5110.1333333333332</v>
      </c>
      <c r="K31" s="41">
        <f t="shared" si="11"/>
        <v>5110.1333333333332</v>
      </c>
      <c r="L31" s="41">
        <f t="shared" si="11"/>
        <v>5110.1333333333332</v>
      </c>
      <c r="M31" s="41">
        <f t="shared" si="11"/>
        <v>5110.1333333333332</v>
      </c>
      <c r="N31" s="41">
        <f>SUM(B31:M31)</f>
        <v>61321.599999999984</v>
      </c>
      <c r="O31" s="41">
        <f>SUM(O32:O33)</f>
        <v>49341.333333333328</v>
      </c>
      <c r="P31" s="41">
        <f>(N31/O31-1)*100</f>
        <v>24.280386964276033</v>
      </c>
    </row>
    <row r="32" spans="1:16" hidden="1" x14ac:dyDescent="0.2">
      <c r="A32" s="41" t="s">
        <v>62</v>
      </c>
      <c r="B32" s="41">
        <f>($O32/12)*(1+($P32/100))</f>
        <v>3494.2444444444441</v>
      </c>
      <c r="C32" s="41">
        <f t="shared" ref="C32:M33" si="12">($O32/12)*(1+($P32/100))</f>
        <v>3494.2444444444441</v>
      </c>
      <c r="D32" s="41">
        <f t="shared" si="12"/>
        <v>3494.2444444444441</v>
      </c>
      <c r="E32" s="41">
        <f t="shared" si="12"/>
        <v>3494.2444444444441</v>
      </c>
      <c r="F32" s="41">
        <f t="shared" si="12"/>
        <v>3494.2444444444441</v>
      </c>
      <c r="G32" s="41">
        <f t="shared" si="12"/>
        <v>3494.2444444444441</v>
      </c>
      <c r="H32" s="41">
        <f t="shared" si="12"/>
        <v>3494.2444444444441</v>
      </c>
      <c r="I32" s="41">
        <f t="shared" si="12"/>
        <v>3494.2444444444441</v>
      </c>
      <c r="J32" s="41">
        <f t="shared" si="12"/>
        <v>3494.2444444444441</v>
      </c>
      <c r="K32" s="41">
        <f t="shared" si="12"/>
        <v>3494.2444444444441</v>
      </c>
      <c r="L32" s="41">
        <f t="shared" si="12"/>
        <v>3494.2444444444441</v>
      </c>
      <c r="M32" s="41">
        <f t="shared" si="12"/>
        <v>3494.2444444444441</v>
      </c>
      <c r="N32" s="41">
        <f>SUM(B32:M32)</f>
        <v>41930.93333333332</v>
      </c>
      <c r="O32" s="41">
        <f>22463/9*12</f>
        <v>29950.666666666664</v>
      </c>
      <c r="P32" s="41">
        <v>40</v>
      </c>
    </row>
    <row r="33" spans="1:16" hidden="1" x14ac:dyDescent="0.2">
      <c r="A33" s="47" t="s">
        <v>63</v>
      </c>
      <c r="B33" s="41">
        <f>($O33/12)*(1+($P33/100))</f>
        <v>1615.8888888888889</v>
      </c>
      <c r="C33" s="41">
        <f t="shared" si="12"/>
        <v>1615.8888888888889</v>
      </c>
      <c r="D33" s="41">
        <f t="shared" si="12"/>
        <v>1615.8888888888889</v>
      </c>
      <c r="E33" s="41">
        <f t="shared" si="12"/>
        <v>1615.8888888888889</v>
      </c>
      <c r="F33" s="41">
        <f t="shared" si="12"/>
        <v>1615.8888888888889</v>
      </c>
      <c r="G33" s="41">
        <f t="shared" si="12"/>
        <v>1615.8888888888889</v>
      </c>
      <c r="H33" s="41">
        <f t="shared" si="12"/>
        <v>1615.8888888888889</v>
      </c>
      <c r="I33" s="41">
        <f t="shared" si="12"/>
        <v>1615.8888888888889</v>
      </c>
      <c r="J33" s="41">
        <f t="shared" si="12"/>
        <v>1615.8888888888889</v>
      </c>
      <c r="K33" s="41">
        <f t="shared" si="12"/>
        <v>1615.8888888888889</v>
      </c>
      <c r="L33" s="41">
        <f t="shared" si="12"/>
        <v>1615.8888888888889</v>
      </c>
      <c r="M33" s="41">
        <f t="shared" si="12"/>
        <v>1615.8888888888889</v>
      </c>
      <c r="N33" s="41">
        <f>SUM(B33:M33)</f>
        <v>19390.666666666668</v>
      </c>
      <c r="O33" s="41">
        <f>14543/9*12</f>
        <v>19390.666666666668</v>
      </c>
      <c r="P33" s="41">
        <v>0</v>
      </c>
    </row>
    <row r="34" spans="1:16" x14ac:dyDescent="0.2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spans="1:16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</row>
    <row r="36" spans="1:16" x14ac:dyDescent="0.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  <row r="37" spans="1:16" x14ac:dyDescent="0.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1:16" x14ac:dyDescent="0.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6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1:16" x14ac:dyDescent="0.2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</row>
    <row r="41" spans="1:16" x14ac:dyDescent="0.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</row>
    <row r="42" spans="1:16" x14ac:dyDescent="0.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</row>
    <row r="43" spans="1:16" x14ac:dyDescent="0.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</row>
    <row r="44" spans="1:16" x14ac:dyDescent="0.2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</row>
    <row r="45" spans="1:16" x14ac:dyDescent="0.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</row>
    <row r="46" spans="1:16" x14ac:dyDescent="0.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</row>
    <row r="47" spans="1:16" x14ac:dyDescent="0.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</row>
    <row r="48" spans="1:16" x14ac:dyDescent="0.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</row>
    <row r="49" spans="1:14" s="45" customFormat="1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</row>
    <row r="50" spans="1:14" s="45" customFormat="1" x14ac:dyDescent="0.2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</row>
    <row r="51" spans="1:14" s="45" customFormat="1" x14ac:dyDescent="0.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</row>
    <row r="52" spans="1:14" s="48" customFormat="1" x14ac:dyDescent="0.2">
      <c r="N52" s="41"/>
    </row>
    <row r="53" spans="1:14" s="48" customFormat="1" x14ac:dyDescent="0.2">
      <c r="N53" s="41"/>
    </row>
    <row r="54" spans="1:14" s="48" customFormat="1" x14ac:dyDescent="0.2">
      <c r="N54" s="41"/>
    </row>
    <row r="55" spans="1:14" s="48" customFormat="1" x14ac:dyDescent="0.2">
      <c r="N55" s="41"/>
    </row>
    <row r="56" spans="1:14" s="48" customFormat="1" x14ac:dyDescent="0.2">
      <c r="N56" s="41"/>
    </row>
    <row r="57" spans="1:14" s="48" customFormat="1" x14ac:dyDescent="0.2">
      <c r="N57" s="41"/>
    </row>
    <row r="58" spans="1:14" s="48" customFormat="1" x14ac:dyDescent="0.2">
      <c r="N58" s="41"/>
    </row>
    <row r="59" spans="1:14" s="48" customFormat="1" x14ac:dyDescent="0.2">
      <c r="N59" s="41"/>
    </row>
    <row r="60" spans="1:14" s="48" customFormat="1" x14ac:dyDescent="0.2">
      <c r="N60" s="41"/>
    </row>
    <row r="61" spans="1:14" s="48" customFormat="1" x14ac:dyDescent="0.2">
      <c r="N61" s="41"/>
    </row>
    <row r="62" spans="1:14" s="48" customFormat="1" x14ac:dyDescent="0.2">
      <c r="N62" s="41"/>
    </row>
    <row r="63" spans="1:14" s="48" customFormat="1" x14ac:dyDescent="0.2">
      <c r="N63" s="41"/>
    </row>
    <row r="64" spans="1:14" s="48" customFormat="1" x14ac:dyDescent="0.2">
      <c r="N64" s="41"/>
    </row>
    <row r="65" spans="14:14" s="48" customFormat="1" x14ac:dyDescent="0.2">
      <c r="N65" s="41"/>
    </row>
    <row r="66" spans="14:14" s="48" customFormat="1" x14ac:dyDescent="0.2">
      <c r="N66" s="41"/>
    </row>
  </sheetData>
  <pageMargins left="0.78740157499999996" right="0.78740157499999996" top="0.984251969" bottom="0.984251969" header="0.49212598499999999" footer="0.49212598499999999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B25" sqref="B25"/>
    </sheetView>
  </sheetViews>
  <sheetFormatPr defaultColWidth="18" defaultRowHeight="12.75" x14ac:dyDescent="0.2"/>
  <cols>
    <col min="1" max="1" width="37.5703125" style="41" customWidth="1"/>
    <col min="2" max="6" width="10.28515625" style="41" customWidth="1"/>
    <col min="7" max="7" width="14.28515625" style="41" customWidth="1"/>
    <col min="8" max="13" width="11.28515625" style="41" bestFit="1" customWidth="1"/>
    <col min="14" max="14" width="11.28515625" style="41" customWidth="1"/>
    <col min="15" max="16384" width="18" style="41"/>
  </cols>
  <sheetData>
    <row r="1" spans="1:14" x14ac:dyDescent="0.2">
      <c r="E1" s="41" t="s">
        <v>64</v>
      </c>
    </row>
    <row r="3" spans="1:14" x14ac:dyDescent="0.2">
      <c r="B3" s="41" t="s">
        <v>36</v>
      </c>
      <c r="C3" s="41" t="s">
        <v>37</v>
      </c>
      <c r="D3" s="41" t="s">
        <v>38</v>
      </c>
      <c r="E3" s="41" t="s">
        <v>39</v>
      </c>
      <c r="F3" s="41" t="s">
        <v>40</v>
      </c>
      <c r="G3" s="41" t="s">
        <v>41</v>
      </c>
      <c r="H3" s="41" t="s">
        <v>42</v>
      </c>
      <c r="I3" s="41" t="s">
        <v>43</v>
      </c>
      <c r="J3" s="41" t="s">
        <v>44</v>
      </c>
      <c r="K3" s="41" t="s">
        <v>45</v>
      </c>
      <c r="L3" s="41" t="s">
        <v>46</v>
      </c>
      <c r="M3" s="41" t="s">
        <v>47</v>
      </c>
      <c r="N3" s="41" t="s">
        <v>23</v>
      </c>
    </row>
    <row r="5" spans="1:14" x14ac:dyDescent="0.2">
      <c r="A5" s="33" t="s">
        <v>50</v>
      </c>
      <c r="B5" s="41">
        <f>[1]Margens!B4</f>
        <v>0</v>
      </c>
      <c r="C5" s="41">
        <f>[1]Margens!C4</f>
        <v>0</v>
      </c>
      <c r="D5" s="41">
        <f>[1]Margens!D4</f>
        <v>0</v>
      </c>
      <c r="E5" s="41">
        <f>[1]Margens!E4</f>
        <v>0</v>
      </c>
      <c r="F5" s="41">
        <f>[1]Margens!F4</f>
        <v>0</v>
      </c>
      <c r="G5" s="41">
        <f>[1]Margens!G4</f>
        <v>0</v>
      </c>
      <c r="H5" s="41">
        <f>[1]Margens!H4</f>
        <v>0</v>
      </c>
      <c r="I5" s="41">
        <f>[1]Margens!I4</f>
        <v>0</v>
      </c>
      <c r="J5" s="41">
        <f>[1]Margens!J4</f>
        <v>0</v>
      </c>
      <c r="K5" s="41">
        <f>[1]Margens!K4</f>
        <v>0</v>
      </c>
      <c r="L5" s="41">
        <f>[1]Margens!L4</f>
        <v>0</v>
      </c>
      <c r="M5" s="41">
        <f>[1]Margens!M4</f>
        <v>0</v>
      </c>
      <c r="N5" s="41">
        <f>SUM(B5:M5)</f>
        <v>0</v>
      </c>
    </row>
    <row r="7" spans="1:14" x14ac:dyDescent="0.2">
      <c r="A7" s="41" t="s">
        <v>82</v>
      </c>
      <c r="B7" s="40" t="e">
        <f>[1]Margens!B11</f>
        <v>#DIV/0!</v>
      </c>
      <c r="C7" s="40" t="e">
        <f>[1]Margens!C11</f>
        <v>#DIV/0!</v>
      </c>
      <c r="D7" s="40" t="e">
        <f>[1]Margens!D11</f>
        <v>#DIV/0!</v>
      </c>
      <c r="E7" s="40" t="e">
        <f>[1]Margens!E11</f>
        <v>#DIV/0!</v>
      </c>
      <c r="F7" s="40" t="e">
        <f>[1]Margens!F11</f>
        <v>#DIV/0!</v>
      </c>
      <c r="G7" s="40" t="e">
        <f>[1]Margens!G11</f>
        <v>#DIV/0!</v>
      </c>
      <c r="H7" s="40" t="e">
        <f>[1]Margens!H11</f>
        <v>#DIV/0!</v>
      </c>
      <c r="I7" s="40" t="e">
        <f>[1]Margens!I11</f>
        <v>#DIV/0!</v>
      </c>
      <c r="J7" s="40" t="e">
        <f>[1]Margens!J11</f>
        <v>#DIV/0!</v>
      </c>
      <c r="K7" s="40" t="e">
        <f>[1]Margens!K11</f>
        <v>#DIV/0!</v>
      </c>
      <c r="L7" s="40" t="e">
        <f>[1]Margens!L11</f>
        <v>#DIV/0!</v>
      </c>
      <c r="M7" s="40" t="e">
        <f>[1]Margens!M11</f>
        <v>#DIV/0!</v>
      </c>
      <c r="N7" s="40" t="e">
        <f>SUM(B7:M7)</f>
        <v>#DIV/0!</v>
      </c>
    </row>
    <row r="9" spans="1:14" x14ac:dyDescent="0.2">
      <c r="A9" s="41" t="s">
        <v>83</v>
      </c>
      <c r="B9" s="40">
        <f>-'[1]Custos Fixos'!B25</f>
        <v>-666666.66666666674</v>
      </c>
      <c r="C9" s="40">
        <f>-'[1]Custos Fixos'!C25</f>
        <v>-666666.66666666674</v>
      </c>
      <c r="D9" s="40">
        <f>-'[1]Custos Fixos'!D25</f>
        <v>-666666.66666666674</v>
      </c>
      <c r="E9" s="40">
        <f>-'[1]Custos Fixos'!E25</f>
        <v>-666666.66666666674</v>
      </c>
      <c r="F9" s="40">
        <f>-'[1]Custos Fixos'!F25</f>
        <v>-666666.66666666674</v>
      </c>
      <c r="G9" s="40">
        <f>-'[1]Custos Fixos'!G25</f>
        <v>-666666.66666666674</v>
      </c>
      <c r="H9" s="40">
        <f>-'[1]Custos Fixos'!H25</f>
        <v>-666666.66666666674</v>
      </c>
      <c r="I9" s="40">
        <f>-'[1]Custos Fixos'!I25</f>
        <v>-666666.66666666674</v>
      </c>
      <c r="J9" s="40">
        <f>-'[1]Custos Fixos'!J25</f>
        <v>-666666.66666666674</v>
      </c>
      <c r="K9" s="40">
        <f>-'[1]Custos Fixos'!K25</f>
        <v>-666666.66666666674</v>
      </c>
      <c r="L9" s="40">
        <f>-'[1]Custos Fixos'!L25</f>
        <v>-666666.66666666674</v>
      </c>
      <c r="M9" s="40">
        <f>-'[1]Custos Fixos'!M25</f>
        <v>-666666.66666666674</v>
      </c>
      <c r="N9" s="40">
        <f>SUM(B9:M9)</f>
        <v>-8000000.0000000028</v>
      </c>
    </row>
    <row r="11" spans="1:14" x14ac:dyDescent="0.2">
      <c r="A11" s="41" t="s">
        <v>84</v>
      </c>
      <c r="B11" s="41">
        <f>B5*8%</f>
        <v>0</v>
      </c>
      <c r="C11" s="41">
        <f t="shared" ref="C11:M11" si="0">C5*8%</f>
        <v>0</v>
      </c>
      <c r="D11" s="41">
        <f t="shared" si="0"/>
        <v>0</v>
      </c>
      <c r="E11" s="41">
        <f t="shared" si="0"/>
        <v>0</v>
      </c>
      <c r="F11" s="41">
        <f t="shared" si="0"/>
        <v>0</v>
      </c>
      <c r="G11" s="41">
        <f t="shared" si="0"/>
        <v>0</v>
      </c>
      <c r="H11" s="41">
        <f t="shared" si="0"/>
        <v>0</v>
      </c>
      <c r="I11" s="41">
        <f t="shared" si="0"/>
        <v>0</v>
      </c>
      <c r="J11" s="41">
        <f t="shared" si="0"/>
        <v>0</v>
      </c>
      <c r="K11" s="41">
        <f t="shared" si="0"/>
        <v>0</v>
      </c>
      <c r="L11" s="41">
        <f t="shared" si="0"/>
        <v>0</v>
      </c>
      <c r="M11" s="41">
        <f t="shared" si="0"/>
        <v>0</v>
      </c>
      <c r="N11" s="41">
        <f>SUM(B11:M11)</f>
        <v>0</v>
      </c>
    </row>
    <row r="12" spans="1:14" x14ac:dyDescent="0.2">
      <c r="A12" s="33" t="s">
        <v>85</v>
      </c>
      <c r="B12" s="41">
        <f>B11</f>
        <v>0</v>
      </c>
      <c r="C12" s="41">
        <f>B12+C11</f>
        <v>0</v>
      </c>
      <c r="D12" s="41">
        <f t="shared" ref="D12:M12" si="1">C12+D11</f>
        <v>0</v>
      </c>
      <c r="E12" s="41">
        <f t="shared" si="1"/>
        <v>0</v>
      </c>
      <c r="F12" s="41">
        <f t="shared" si="1"/>
        <v>0</v>
      </c>
      <c r="G12" s="41">
        <f t="shared" si="1"/>
        <v>0</v>
      </c>
      <c r="H12" s="41">
        <f t="shared" si="1"/>
        <v>0</v>
      </c>
      <c r="I12" s="41">
        <f t="shared" si="1"/>
        <v>0</v>
      </c>
      <c r="J12" s="41">
        <f t="shared" si="1"/>
        <v>0</v>
      </c>
      <c r="K12" s="41">
        <f t="shared" si="1"/>
        <v>0</v>
      </c>
      <c r="L12" s="41">
        <f t="shared" si="1"/>
        <v>0</v>
      </c>
      <c r="M12" s="41">
        <f t="shared" si="1"/>
        <v>0</v>
      </c>
    </row>
    <row r="13" spans="1:14" x14ac:dyDescent="0.2">
      <c r="A13" s="33"/>
    </row>
    <row r="14" spans="1:14" x14ac:dyDescent="0.2">
      <c r="A14" s="41" t="s">
        <v>86</v>
      </c>
      <c r="B14" s="40">
        <f>-(IF(B12&gt;20000,(B12-20000)*10%,0))</f>
        <v>0</v>
      </c>
      <c r="C14" s="40">
        <f>-(IF(C12&gt;40000,(C12-40000)*10%+B14,0))</f>
        <v>0</v>
      </c>
      <c r="D14" s="40">
        <f>-(IF(D12&gt;60000,((D12-60000)*10%)+SUM($B14:C$14),0))</f>
        <v>0</v>
      </c>
      <c r="E14" s="40">
        <f>-IF(E12&gt;80000,((E12-80000)*10%)+SUM($B14:D$14),0)</f>
        <v>0</v>
      </c>
      <c r="F14" s="40">
        <f>-IF(F12&gt;100000,((F12-100000)*10%)+SUM($B14:E$14),0)</f>
        <v>0</v>
      </c>
      <c r="G14" s="40">
        <f>-IF(G12&gt;120000,((G12-120000)*10%)+SUM($B14:F$14),0)</f>
        <v>0</v>
      </c>
      <c r="H14" s="40">
        <f>-IF(H12&gt;140000,((H12-140000)*10%)+SUM($B14:G$14),0)</f>
        <v>0</v>
      </c>
      <c r="I14" s="40">
        <f>-IF(I12&gt;160000,((I12-160000)*10%)+SUM($B14:H$14),0)</f>
        <v>0</v>
      </c>
      <c r="J14" s="40">
        <f>-IF(J12&gt;180000,((J12-180000)*10%)+SUM($B14:I$14),0)</f>
        <v>0</v>
      </c>
      <c r="K14" s="40">
        <f>-IF(K12&gt;200000,((K12-200000)*10%)+SUM($B14:J$14),0)</f>
        <v>0</v>
      </c>
      <c r="L14" s="40">
        <f>-IF(L12&gt;220000,((L12-220000)*10%)+SUM($B14:K$14),0)</f>
        <v>0</v>
      </c>
      <c r="M14" s="40">
        <f>-IF(M12&gt;240000,((M12-240000)*10%)+SUM($B14:L$14),0)</f>
        <v>0</v>
      </c>
      <c r="N14" s="40">
        <f>SUM(B14:M14)</f>
        <v>0</v>
      </c>
    </row>
    <row r="16" spans="1:14" x14ac:dyDescent="0.2">
      <c r="A16" s="41" t="s">
        <v>65</v>
      </c>
      <c r="B16" s="40" t="e">
        <f>B7+B9+B14</f>
        <v>#DIV/0!</v>
      </c>
      <c r="C16" s="40" t="e">
        <f t="shared" ref="C16:M16" si="2">C7+C9+C14</f>
        <v>#DIV/0!</v>
      </c>
      <c r="D16" s="40" t="e">
        <f t="shared" si="2"/>
        <v>#DIV/0!</v>
      </c>
      <c r="E16" s="40" t="e">
        <f t="shared" si="2"/>
        <v>#DIV/0!</v>
      </c>
      <c r="F16" s="40" t="e">
        <f t="shared" si="2"/>
        <v>#DIV/0!</v>
      </c>
      <c r="G16" s="40" t="e">
        <f t="shared" si="2"/>
        <v>#DIV/0!</v>
      </c>
      <c r="H16" s="40" t="e">
        <f t="shared" si="2"/>
        <v>#DIV/0!</v>
      </c>
      <c r="I16" s="40" t="e">
        <f t="shared" si="2"/>
        <v>#DIV/0!</v>
      </c>
      <c r="J16" s="40" t="e">
        <f t="shared" si="2"/>
        <v>#DIV/0!</v>
      </c>
      <c r="K16" s="40" t="e">
        <f t="shared" si="2"/>
        <v>#DIV/0!</v>
      </c>
      <c r="L16" s="40" t="e">
        <f t="shared" si="2"/>
        <v>#DIV/0!</v>
      </c>
      <c r="M16" s="40" t="e">
        <f t="shared" si="2"/>
        <v>#DIV/0!</v>
      </c>
      <c r="N16" s="40" t="e">
        <f>SUM(B16:M16)</f>
        <v>#DIV/0!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9"/>
  <sheetViews>
    <sheetView workbookViewId="0">
      <selection activeCell="F16" sqref="F16"/>
    </sheetView>
  </sheetViews>
  <sheetFormatPr defaultColWidth="11.42578125" defaultRowHeight="12.75" x14ac:dyDescent="0.2"/>
  <cols>
    <col min="1" max="1" width="43.140625" style="33" bestFit="1" customWidth="1"/>
    <col min="2" max="2" width="17" style="33" customWidth="1"/>
    <col min="3" max="3" width="12.7109375" style="35" customWidth="1"/>
    <col min="4" max="4" width="11.42578125" style="33" customWidth="1"/>
    <col min="5" max="16384" width="11.42578125" style="37"/>
  </cols>
  <sheetData>
    <row r="2" spans="1:4" x14ac:dyDescent="0.2">
      <c r="B2" s="33" t="s">
        <v>66</v>
      </c>
    </row>
    <row r="3" spans="1:4" x14ac:dyDescent="0.2">
      <c r="B3" s="2"/>
      <c r="C3" s="2"/>
    </row>
    <row r="4" spans="1:4" x14ac:dyDescent="0.2">
      <c r="A4" s="33" t="s">
        <v>67</v>
      </c>
      <c r="B4" s="39">
        <v>6000000</v>
      </c>
      <c r="C4" s="2"/>
    </row>
    <row r="5" spans="1:4" x14ac:dyDescent="0.2">
      <c r="A5" s="33" t="s">
        <v>87</v>
      </c>
      <c r="B5" s="39">
        <f>[1]Margens!N4</f>
        <v>0</v>
      </c>
    </row>
    <row r="6" spans="1:4" x14ac:dyDescent="0.2">
      <c r="B6" s="49"/>
    </row>
    <row r="8" spans="1:4" x14ac:dyDescent="0.2">
      <c r="A8" s="50" t="s">
        <v>68</v>
      </c>
      <c r="B8" s="37"/>
    </row>
    <row r="9" spans="1:4" x14ac:dyDescent="0.2">
      <c r="A9" s="50"/>
      <c r="B9" s="33" t="s">
        <v>69</v>
      </c>
      <c r="C9" s="35" t="s">
        <v>69</v>
      </c>
      <c r="D9" s="33" t="s">
        <v>69</v>
      </c>
    </row>
    <row r="10" spans="1:4" x14ac:dyDescent="0.2">
      <c r="B10" s="33" t="s">
        <v>70</v>
      </c>
      <c r="C10" s="35" t="s">
        <v>71</v>
      </c>
      <c r="D10" s="33" t="s">
        <v>72</v>
      </c>
    </row>
    <row r="12" spans="1:4" ht="18" x14ac:dyDescent="0.25">
      <c r="A12" s="33" t="s">
        <v>73</v>
      </c>
      <c r="B12" s="51">
        <v>15</v>
      </c>
      <c r="C12" s="52" t="e">
        <f>[1]Resultado!N16/B4*100</f>
        <v>#DIV/0!</v>
      </c>
      <c r="D12" s="40" t="e">
        <f>C12-B12</f>
        <v>#DIV/0!</v>
      </c>
    </row>
    <row r="13" spans="1:4" ht="18" x14ac:dyDescent="0.25">
      <c r="A13" s="33" t="s">
        <v>74</v>
      </c>
      <c r="B13" s="51">
        <v>8</v>
      </c>
      <c r="C13" s="52" t="e">
        <f>[1]Resultado!N16/B5*100</f>
        <v>#DIV/0!</v>
      </c>
      <c r="D13" s="40" t="e">
        <f>C13-B13</f>
        <v>#DIV/0!</v>
      </c>
    </row>
    <row r="14" spans="1:4" x14ac:dyDescent="0.2">
      <c r="D14" s="41"/>
    </row>
    <row r="15" spans="1:4" x14ac:dyDescent="0.2">
      <c r="D15" s="41"/>
    </row>
    <row r="16" spans="1:4" x14ac:dyDescent="0.2">
      <c r="A16" s="50" t="s">
        <v>75</v>
      </c>
    </row>
    <row r="17" spans="1:4" x14ac:dyDescent="0.2">
      <c r="A17"/>
      <c r="B17" s="33" t="s">
        <v>69</v>
      </c>
      <c r="C17" s="33" t="s">
        <v>69</v>
      </c>
      <c r="D17" s="35" t="s">
        <v>69</v>
      </c>
    </row>
    <row r="18" spans="1:4" x14ac:dyDescent="0.2">
      <c r="A18" s="1" t="s">
        <v>24</v>
      </c>
      <c r="B18" s="33" t="s">
        <v>76</v>
      </c>
      <c r="C18" s="1" t="s">
        <v>70</v>
      </c>
      <c r="D18" s="35" t="s">
        <v>71</v>
      </c>
    </row>
    <row r="19" spans="1:4" ht="18" x14ac:dyDescent="0.25">
      <c r="A19" s="1" t="s">
        <v>25</v>
      </c>
      <c r="B19" s="53">
        <v>1</v>
      </c>
      <c r="C19" s="39" t="s">
        <v>88</v>
      </c>
      <c r="D19" s="3">
        <v>1</v>
      </c>
    </row>
    <row r="20" spans="1:4" ht="18" x14ac:dyDescent="0.25">
      <c r="A20" s="1" t="s">
        <v>26</v>
      </c>
      <c r="B20" s="53">
        <v>0.03</v>
      </c>
      <c r="C20" s="54" t="s">
        <v>89</v>
      </c>
      <c r="D20" s="3">
        <f>[1]B!B40</f>
        <v>0.09</v>
      </c>
    </row>
    <row r="21" spans="1:4" ht="18" x14ac:dyDescent="0.25">
      <c r="A21" s="1" t="s">
        <v>27</v>
      </c>
      <c r="B21" s="55">
        <v>0.01</v>
      </c>
      <c r="C21" s="56" t="s">
        <v>90</v>
      </c>
      <c r="D21" s="3">
        <f>[1]C!B40</f>
        <v>0.06</v>
      </c>
    </row>
    <row r="22" spans="1:4" ht="18" x14ac:dyDescent="0.25">
      <c r="A22" s="1" t="s">
        <v>28</v>
      </c>
      <c r="B22" s="53">
        <v>0.14000000000000001</v>
      </c>
      <c r="C22" s="54" t="s">
        <v>77</v>
      </c>
      <c r="D22" s="3">
        <f>[1]D!B40</f>
        <v>0.33600000000000002</v>
      </c>
    </row>
    <row r="23" spans="1:4" ht="18" x14ac:dyDescent="0.25">
      <c r="A23" s="33" t="s">
        <v>78</v>
      </c>
      <c r="B23" s="57">
        <v>0</v>
      </c>
      <c r="C23" s="39" t="s">
        <v>88</v>
      </c>
      <c r="D23" s="3">
        <f>[1]E!B40</f>
        <v>0.15</v>
      </c>
    </row>
    <row r="26" spans="1:4" x14ac:dyDescent="0.2">
      <c r="A26" s="33" t="s">
        <v>91</v>
      </c>
    </row>
    <row r="27" spans="1:4" x14ac:dyDescent="0.2">
      <c r="A27" s="33" t="s">
        <v>92</v>
      </c>
      <c r="B27" s="41">
        <f>'[1]Custos Fixos'!N25</f>
        <v>8000000</v>
      </c>
    </row>
    <row r="28" spans="1:4" x14ac:dyDescent="0.2">
      <c r="A28" s="33" t="s">
        <v>93</v>
      </c>
      <c r="B28" s="58" t="e">
        <f>[1]Margens!B18</f>
        <v>#DIV/0!</v>
      </c>
    </row>
    <row r="29" spans="1:4" ht="18" x14ac:dyDescent="0.25">
      <c r="A29" s="33" t="s">
        <v>94</v>
      </c>
      <c r="B29" s="4" t="e">
        <f>B27/B28</f>
        <v>#DIV/0!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A</vt:lpstr>
      <vt:lpstr>B</vt:lpstr>
      <vt:lpstr>C</vt:lpstr>
      <vt:lpstr>D</vt:lpstr>
      <vt:lpstr>E</vt:lpstr>
      <vt:lpstr>margens</vt:lpstr>
      <vt:lpstr>Custos Fixos</vt:lpstr>
      <vt:lpstr>resultados</vt:lpstr>
      <vt:lpstr>índices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Treinamento</dc:creator>
  <cp:lastModifiedBy>Roberto</cp:lastModifiedBy>
  <cp:lastPrinted>1999-06-24T14:41:41Z</cp:lastPrinted>
  <dcterms:created xsi:type="dcterms:W3CDTF">1999-06-20T23:43:52Z</dcterms:created>
  <dcterms:modified xsi:type="dcterms:W3CDTF">2014-08-07T17:35:58Z</dcterms:modified>
</cp:coreProperties>
</file>